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30" windowWidth="22560" windowHeight="357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CE9" i="6" l="1"/>
  <c r="CC17" i="6"/>
  <c r="CC16" i="6"/>
  <c r="CC15" i="6"/>
  <c r="CC14" i="6"/>
  <c r="CC13" i="6"/>
  <c r="CC12" i="6"/>
  <c r="CC11" i="6"/>
  <c r="CC9" i="6"/>
  <c r="BY9" i="6"/>
  <c r="F14" i="6"/>
  <c r="B37" i="2" l="1"/>
  <c r="B10" i="2"/>
  <c r="M35" i="1"/>
  <c r="L34" i="1"/>
  <c r="L36" i="1"/>
  <c r="L35" i="1"/>
  <c r="G12" i="1" l="1"/>
  <c r="F12" i="1"/>
  <c r="D10" i="1"/>
  <c r="M33" i="1" l="1"/>
  <c r="L9" i="3"/>
  <c r="L10" i="3"/>
  <c r="L8" i="3"/>
  <c r="H8" i="3"/>
  <c r="H9" i="3"/>
  <c r="I9" i="3"/>
  <c r="I8" i="3" s="1"/>
  <c r="H10" i="3"/>
  <c r="I10" i="3"/>
  <c r="D13" i="2"/>
  <c r="J8" i="3"/>
  <c r="J10" i="3"/>
  <c r="J9" i="3"/>
  <c r="J2" i="1"/>
  <c r="M34" i="1" l="1"/>
  <c r="S10" i="1"/>
  <c r="E10" i="1"/>
  <c r="C10" i="1"/>
  <c r="F10" i="1" s="1"/>
  <c r="C15" i="1"/>
  <c r="B1" i="4" l="1"/>
  <c r="B3" i="4" s="1"/>
  <c r="B9" i="2"/>
  <c r="B36" i="2" s="1"/>
  <c r="B42" i="2" l="1"/>
  <c r="B43" i="2" s="1"/>
  <c r="B45" i="2" s="1"/>
  <c r="E38" i="2"/>
  <c r="B38" i="2" s="1"/>
  <c r="B40" i="2" s="1"/>
  <c r="C45" i="2" s="1"/>
  <c r="C10" i="2" l="1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13" i="2"/>
  <c r="B11" i="2"/>
  <c r="B12" i="2" l="1"/>
  <c r="C11" i="2"/>
  <c r="F26" i="1"/>
  <c r="E26" i="1"/>
  <c r="D26" i="1" s="1"/>
  <c r="G26" i="1"/>
  <c r="C12" i="2" l="1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F12" i="6"/>
  <c r="BP12" i="6"/>
  <c r="BQ12" i="6" s="1"/>
  <c r="BV12" i="6"/>
  <c r="CA12" i="6" s="1"/>
  <c r="F13" i="6"/>
  <c r="BP13" i="6"/>
  <c r="BQ13" i="6" s="1"/>
  <c r="BV13" i="6"/>
  <c r="BW13" i="6" s="1"/>
  <c r="BV14" i="6"/>
  <c r="CA14" i="6" s="1"/>
  <c r="BP14" i="6"/>
  <c r="BQ14" i="6" s="1"/>
  <c r="F15" i="6"/>
  <c r="BV15" i="6" s="1"/>
  <c r="BW15" i="6" s="1"/>
  <c r="BP15" i="6"/>
  <c r="BQ15" i="6" s="1"/>
  <c r="F16" i="6"/>
  <c r="BV16" i="6" s="1"/>
  <c r="CA16" i="6" s="1"/>
  <c r="BP16" i="6"/>
  <c r="BQ16" i="6" s="1"/>
  <c r="F17" i="6"/>
  <c r="BP17" i="6"/>
  <c r="BQ17" i="6" s="1"/>
  <c r="BV17" i="6"/>
  <c r="BW17" i="6" s="1"/>
  <c r="F18" i="6"/>
  <c r="BP18" i="6"/>
  <c r="BQ18" i="6" s="1"/>
  <c r="BV18" i="6"/>
  <c r="CA18" i="6" s="1"/>
  <c r="F19" i="6"/>
  <c r="BV19" i="6" s="1"/>
  <c r="CB19" i="6" s="1"/>
  <c r="BP19" i="6"/>
  <c r="BQ19" i="6" s="1"/>
  <c r="F20" i="6"/>
  <c r="BV20" i="6" s="1"/>
  <c r="CA20" i="6" s="1"/>
  <c r="BP20" i="6"/>
  <c r="BQ20" i="6" s="1"/>
  <c r="BR20" i="6"/>
  <c r="BS20" i="6" s="1"/>
  <c r="F21" i="6"/>
  <c r="BV21" i="6" s="1"/>
  <c r="BP21" i="6"/>
  <c r="BQ21" i="6" s="1"/>
  <c r="BP22" i="6"/>
  <c r="BQ22" i="6" s="1"/>
  <c r="BV22" i="6"/>
  <c r="BW22" i="6" s="1"/>
  <c r="BV23" i="6"/>
  <c r="CA23" i="6" s="1"/>
  <c r="BP23" i="6"/>
  <c r="BQ23" i="6"/>
  <c r="F24" i="6"/>
  <c r="BV24" i="6" s="1"/>
  <c r="BW24" i="6" s="1"/>
  <c r="BX24" i="6" s="1"/>
  <c r="BP24" i="6"/>
  <c r="BQ24" i="6" s="1"/>
  <c r="BR24" i="6"/>
  <c r="BS24" i="6" s="1"/>
  <c r="BT24" i="6" s="1"/>
  <c r="F25" i="6"/>
  <c r="BP25" i="6"/>
  <c r="BQ25" i="6" s="1"/>
  <c r="BV25" i="6"/>
  <c r="BW25" i="6" s="1"/>
  <c r="CA25" i="6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CA11" i="6" l="1"/>
  <c r="BR19" i="6"/>
  <c r="BS19" i="6" s="1"/>
  <c r="BR15" i="6"/>
  <c r="BS15" i="6" s="1"/>
  <c r="CD15" i="6" s="1"/>
  <c r="CA22" i="6"/>
  <c r="BW20" i="6"/>
  <c r="CB20" i="6"/>
  <c r="CD20" i="6" s="1"/>
  <c r="CA17" i="6"/>
  <c r="CB17" i="6"/>
  <c r="CA15" i="6"/>
  <c r="CA13" i="6"/>
  <c r="CB11" i="6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BW28" i="6"/>
  <c r="CA28" i="6"/>
  <c r="CA19" i="6"/>
  <c r="BW19" i="6"/>
  <c r="BX19" i="6" s="1"/>
  <c r="CB27" i="6"/>
  <c r="CA26" i="6"/>
  <c r="CB22" i="6"/>
  <c r="BX20" i="6"/>
  <c r="CB15" i="6"/>
  <c r="BX15" i="6"/>
  <c r="CB13" i="6"/>
  <c r="CA9" i="6"/>
  <c r="CB9" i="6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T19" i="6"/>
  <c r="BW18" i="6"/>
  <c r="CB18" i="6"/>
  <c r="BR17" i="6"/>
  <c r="BS17" i="6" s="1"/>
  <c r="BT15" i="6"/>
  <c r="BW14" i="6"/>
  <c r="CB14" i="6"/>
  <c r="BR13" i="6"/>
  <c r="BS13" i="6" s="1"/>
  <c r="BW10" i="6"/>
  <c r="CB10" i="6"/>
  <c r="CC10" i="6" s="1"/>
  <c r="BV3" i="6"/>
  <c r="BQ9" i="6"/>
  <c r="BR9" i="6" s="1"/>
  <c r="BS9" i="6" s="1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E13" i="2" l="1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I6" i="1"/>
  <c r="H2" i="1"/>
  <c r="F9" i="1"/>
  <c r="H12" i="1" s="1"/>
  <c r="D3" i="1"/>
  <c r="C7" i="1" s="1"/>
  <c r="D2" i="1"/>
  <c r="C6" i="1" s="1"/>
  <c r="J6" i="1" l="1"/>
  <c r="L6" i="1"/>
  <c r="M6" i="1" s="1"/>
  <c r="E3" i="1"/>
  <c r="E6" i="1"/>
  <c r="C12" i="1"/>
  <c r="C13" i="1"/>
  <c r="L10" i="1"/>
  <c r="K12" i="2"/>
  <c r="J13" i="2"/>
  <c r="N6" i="1"/>
  <c r="E2" i="1"/>
  <c r="F3" i="1"/>
  <c r="I2" i="1" l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<sst xmlns="http://schemas.openxmlformats.org/spreadsheetml/2006/main" count="359" uniqueCount="249">
  <si>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</si>
  <si>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</si>
  <si>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</si>
  <si>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</si>
  <si>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</si>
  <si>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</si>
  <si>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</si>
  <si>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</si>
  <si>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</si>
  <si>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</si>
  <si>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</si>
  <si>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</si>
  <si>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</si>
  <si>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</si>
  <si>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</si>
  <si>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</si>
  <si>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</si>
  <si>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</si>
  <si>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</si>
  <si>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</si>
  <si>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</si>
  <si>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</si>
  <si>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</si>
  <si>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</si>
  <si>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</si>
  <si>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</si>
  <si>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</si>
  <si>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</si>
  <si>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</si>
  <si>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</si>
  <si>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</si>
  <si>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</si>
  <si>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</si>
  <si>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</si>
  <si>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</si>
  <si>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</si>
  <si>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</si>
  <si>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</si>
  <si>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</si>
  <si>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</si>
  <si>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</si>
  <si>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</si>
  <si>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</si>
  <si>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</si>
  <si>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</si>
  <si>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</si>
  <si>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</si>
  <si>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</si>
  <si>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</si>
  <si>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</si>
  <si>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</si>
  <si>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</si>
  <si>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</si>
  <si>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</si>
  <si>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</si>
  <si>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</si>
  <si>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</si>
  <si>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</si>
  <si>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</si>
  <si>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</si>
  <si>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</si>
  <si>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</si>
  <si>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</si>
  <si>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</si>
  <si>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</si>
  <si>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</si>
  <si>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</si>
  <si>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</si>
  <si>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</si>
  <si>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</si>
  <si>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</si>
  <si>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</si>
  <si>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</si>
  <si>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</si>
  <si>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</si>
  <si>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ТК-15</t>
  </si>
  <si>
    <t>ТК-16</t>
  </si>
  <si>
    <t>ТК-11</t>
  </si>
  <si>
    <t>ТК-10</t>
  </si>
  <si>
    <t>ТК-28</t>
  </si>
  <si>
    <t>ТК-9</t>
  </si>
  <si>
    <t>ТК-8</t>
  </si>
  <si>
    <t>ТК-7</t>
  </si>
  <si>
    <t>ТК-24'</t>
  </si>
  <si>
    <t>ТК-6</t>
  </si>
  <si>
    <t>ТК-5</t>
  </si>
  <si>
    <t>ТК-23</t>
  </si>
  <si>
    <t>ТК-4</t>
  </si>
  <si>
    <t>ТК-2</t>
  </si>
  <si>
    <t>ТК-1</t>
  </si>
  <si>
    <t>ТК-22</t>
  </si>
  <si>
    <t>ТК-3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</si>
  <si>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</si>
  <si>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</si>
  <si>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</si>
  <si>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</si>
  <si>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</si>
  <si>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</si>
  <si>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</si>
  <si>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</si>
  <si>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</si>
  <si>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</si>
  <si>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</si>
  <si>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</si>
  <si>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</si>
  <si>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</si>
  <si>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</si>
  <si>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</si>
  <si>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</si>
  <si>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</si>
  <si>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</si>
  <si>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</si>
  <si>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</si>
  <si>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</si>
  <si>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</si>
  <si>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</si>
  <si>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</si>
  <si>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</si>
  <si>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</si>
  <si>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</si>
  <si>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</si>
  <si>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</si>
  <si>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</si>
  <si>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</si>
  <si>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</si>
  <si>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</si>
  <si>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</si>
  <si>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</si>
  <si>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</si>
  <si>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</si>
  <si>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</si>
  <si>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</si>
  <si>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</si>
  <si>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</si>
  <si>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</si>
  <si>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</si>
  <si>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</si>
  <si>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</si>
  <si>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</si>
  <si>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</si>
  <si>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</si>
  <si>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</si>
  <si>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</si>
  <si>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</si>
  <si>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</si>
  <si>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</si>
  <si>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</si>
  <si>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</si>
  <si>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</si>
  <si>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</si>
  <si>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</si>
  <si>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</si>
  <si>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</si>
  <si>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</si>
  <si>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</si>
  <si>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</si>
  <si>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</si>
  <si>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</si>
  <si>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</si>
  <si>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</si>
  <si>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</si>
  <si>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</si>
  <si>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</si>
  <si>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</si>
  <si>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</si>
  <si>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</si>
  <si>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</si>
  <si>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</si>
  <si>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</si>
  <si>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</si>
  <si>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</si>
  <si>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</si>
  <si>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</si>
  <si>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</si>
  <si>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</si>
  <si>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</si>
  <si>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</si>
  <si>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</si>
  <si>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</si>
  <si>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</si>
  <si>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</si>
  <si>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</si>
  <si>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</si>
  <si>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</si>
  <si>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</si>
  <si>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</si>
  <si>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</si>
  <si>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</si>
  <si>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</si>
  <si>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</si>
  <si>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</si>
  <si>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</si>
  <si>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</si>
  <si>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</si>
  <si>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</si>
  <si>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</si>
  <si>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</si>
  <si>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</si>
  <si>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</si>
  <si>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</si>
  <si>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</si>
  <si>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</si>
  <si>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</si>
  <si>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</si>
  <si>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</si>
  <si>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</si>
  <si>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</si>
  <si>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</si>
  <si>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</si>
  <si>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</si>
  <si>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</si>
  <si>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</si>
  <si>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</si>
  <si>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</si>
  <si>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</si>
  <si>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</si>
  <si>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</si>
  <si>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</si>
  <si>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</si>
  <si>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</si>
  <si>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</si>
  <si>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</si>
  <si>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</si>
  <si>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</si>
  <si>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</si>
  <si>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</si>
  <si>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</si>
  <si>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</si>
  <si>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</si>
  <si>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</si>
  <si>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</si>
  <si>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</si>
  <si>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</si>
  <si>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</si>
  <si>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</si>
  <si>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</si>
  <si>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</si>
  <si>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</si>
  <si>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</si>
  <si>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</si>
  <si>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</si>
  <si>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</si>
  <si>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площадь</t>
  </si>
  <si>
    <t>q</t>
  </si>
  <si>
    <t>Собственные нужды</t>
  </si>
  <si>
    <t>Q</t>
  </si>
  <si>
    <t>уд.</t>
  </si>
  <si>
    <t>тут</t>
  </si>
  <si>
    <t>ТЗПО,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</si>
</sst>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169" fontId="4" fillId="0" borderId="4" xfId="0" applyNumberFormat="1" applyFont="1" applyBorder="1" applyAlignment="1">
      <alignment horizontal="center" vertical="center" wrapText="1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2087.48</c:v>
                </c:pt>
                <c:pt idx="1">
                  <c:v>2078.4299999999998</c:v>
                </c:pt>
                <c:pt idx="2">
                  <c:v>2233.46</c:v>
                </c:pt>
                <c:pt idx="3">
                  <c:v>2295.9968800000001</c:v>
                </c:pt>
                <c:pt idx="4">
                  <c:v>2357.9887957599999</c:v>
                </c:pt>
                <c:pt idx="5">
                  <c:v>2421.6544932455199</c:v>
                </c:pt>
                <c:pt idx="6">
                  <c:v>2482.1958555766569</c:v>
                </c:pt>
                <c:pt idx="7">
                  <c:v>2539.2863602549196</c:v>
                </c:pt>
                <c:pt idx="8">
                  <c:v>2595.1506601805281</c:v>
                </c:pt>
                <c:pt idx="9">
                  <c:v>2647.0536733841386</c:v>
                </c:pt>
                <c:pt idx="10">
                  <c:v>2699.9947468518217</c:v>
                </c:pt>
                <c:pt idx="11">
                  <c:v>2753.9946417888582</c:v>
                </c:pt>
                <c:pt idx="12">
                  <c:v>2809.0745346246349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9712"/>
        <c:axId val="137232384"/>
      </c:lineChart>
      <c:catAx>
        <c:axId val="1376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32384"/>
        <c:crosses val="autoZero"/>
        <c:auto val="1"/>
        <c:lblAlgn val="ctr"/>
        <c:lblOffset val="100"/>
        <c:noMultiLvlLbl val="0"/>
      </c:catAx>
      <c:valAx>
        <c:axId val="13723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619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7" workbookViewId="0">
      <selection activeCell="L6" sqref="L6:N6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v>0.6</v>
      </c>
      <c r="D2" s="6">
        <f>C2</f>
        <v>0.6</v>
      </c>
      <c r="E2" s="9">
        <f>D2*E4/100</f>
        <v>1.8599999999999998E-2</v>
      </c>
      <c r="F2" s="9">
        <f>D2-E2</f>
        <v>0.58140000000000003</v>
      </c>
      <c r="H2">
        <f>C2</f>
        <v>0.6</v>
      </c>
      <c r="I2" s="21">
        <f>E2</f>
        <v>1.8599999999999998E-2</v>
      </c>
      <c r="J2" s="56">
        <f>D6</f>
        <v>0.2</v>
      </c>
      <c r="K2" s="21">
        <f>H2-I2-J2</f>
        <v>0.38140000000000002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3.1992E-2</v>
      </c>
      <c r="F3" s="9">
        <f>D3-E3</f>
        <v>1.000008</v>
      </c>
    </row>
    <row r="4" spans="1:19" ht="16.5" thickBot="1">
      <c r="E4">
        <v>3.1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1921.24</v>
      </c>
    </row>
    <row r="6" spans="1:19" ht="45.75" thickBot="1">
      <c r="A6" s="4">
        <v>1</v>
      </c>
      <c r="B6" s="8" t="s">
        <v>6</v>
      </c>
      <c r="C6" s="6">
        <f>D2</f>
        <v>0.6</v>
      </c>
      <c r="D6" s="7">
        <v>0.2</v>
      </c>
      <c r="E6" s="10">
        <f>D6/C6*100</f>
        <v>33.333333333333336</v>
      </c>
      <c r="H6" s="27" t="s">
        <v>6</v>
      </c>
      <c r="I6" s="28">
        <f>D6</f>
        <v>0.2</v>
      </c>
      <c r="J6" s="33">
        <f>M6</f>
        <v>3.7790697674418609E-2</v>
      </c>
      <c r="L6" s="20">
        <f>I6/0.86*65</f>
        <v>15.116279069767444</v>
      </c>
      <c r="M6" s="21">
        <f>L6*M5</f>
        <v>3.7790697674418609E-2</v>
      </c>
      <c r="N6" s="21">
        <f>L6*N5</f>
        <v>0.30232558139534887</v>
      </c>
      <c r="Q6" s="19">
        <v>1966.64</v>
      </c>
      <c r="R6" s="41">
        <f>(Q6/Q5-1)*100</f>
        <v>2.3630571922300225</v>
      </c>
    </row>
    <row r="7" spans="1:19" ht="16.5" thickBot="1">
      <c r="C7" s="6">
        <f>D3</f>
        <v>1.032</v>
      </c>
      <c r="Q7" s="19">
        <v>1966.64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t="s">
        <v>244</v>
      </c>
      <c r="E8" s="15" t="s">
        <v>11</v>
      </c>
      <c r="F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2021.75</v>
      </c>
      <c r="R8" s="41">
        <f t="shared" si="0"/>
        <v>2.8022413863238782</v>
      </c>
    </row>
    <row r="9" spans="1:19" ht="45.75" thickBot="1">
      <c r="A9" s="4">
        <v>1</v>
      </c>
      <c r="B9" s="16" t="s">
        <v>13</v>
      </c>
      <c r="C9" s="7">
        <v>1181.6500000000001</v>
      </c>
      <c r="D9">
        <v>37.39</v>
      </c>
      <c r="E9" s="17">
        <v>75.86</v>
      </c>
      <c r="F9" s="18">
        <f>E9/C9*100</f>
        <v>6.4198366690644439</v>
      </c>
      <c r="H9" s="36">
        <v>1</v>
      </c>
      <c r="I9" s="37" t="s">
        <v>6</v>
      </c>
      <c r="J9" s="38" t="s">
        <v>25</v>
      </c>
      <c r="K9" s="39">
        <v>243.48</v>
      </c>
      <c r="L9" s="40">
        <f>K9*0.748</f>
        <v>182.12304</v>
      </c>
      <c r="M9" s="38">
        <f>C9</f>
        <v>1181.6500000000001</v>
      </c>
      <c r="Q9" s="19">
        <v>2021.75</v>
      </c>
      <c r="R9" s="41">
        <f t="shared" si="0"/>
        <v>0</v>
      </c>
    </row>
    <row r="10" spans="1:19" ht="16.5" thickBot="1">
      <c r="C10">
        <f>C9</f>
        <v>1181.6500000000001</v>
      </c>
      <c r="D10">
        <f>D9</f>
        <v>37.39</v>
      </c>
      <c r="E10">
        <f>E9</f>
        <v>75.86</v>
      </c>
      <c r="F10">
        <f>C10-E10-D10</f>
        <v>1068.4000000000001</v>
      </c>
      <c r="L10">
        <f>L9/M9</f>
        <v>0.15412604409088984</v>
      </c>
      <c r="Q10" s="19">
        <v>2064.9699999999998</v>
      </c>
      <c r="R10" s="41">
        <f>(Q10/Q9-1)*100</f>
        <v>2.1377519475701545</v>
      </c>
      <c r="S10">
        <f>Q10/Q5</f>
        <v>1.0748110595240572</v>
      </c>
    </row>
    <row r="11" spans="1:19" ht="16.5" thickBot="1"/>
    <row r="12" spans="1:19" ht="63.75" thickBot="1">
      <c r="B12" s="42" t="s">
        <v>27</v>
      </c>
      <c r="C12">
        <f>C6</f>
        <v>0.6</v>
      </c>
      <c r="F12">
        <f>C9</f>
        <v>1181.6500000000001</v>
      </c>
      <c r="G12">
        <f>E9</f>
        <v>75.86</v>
      </c>
      <c r="H12" s="41">
        <f>F9</f>
        <v>6.4198366690644439</v>
      </c>
    </row>
    <row r="13" spans="1:19" ht="48" thickBot="1">
      <c r="B13" s="43" t="s">
        <v>28</v>
      </c>
      <c r="C13">
        <f>C6</f>
        <v>0.6</v>
      </c>
    </row>
    <row r="14" spans="1:19" ht="48" thickBot="1">
      <c r="B14" s="43" t="s">
        <v>29</v>
      </c>
      <c r="C14" s="21">
        <f>E2</f>
        <v>1.8599999999999998E-2</v>
      </c>
    </row>
    <row r="15" spans="1:19" ht="32.25" thickBot="1">
      <c r="B15" s="43" t="s">
        <v>30</v>
      </c>
      <c r="C15">
        <f>D6</f>
        <v>0.2</v>
      </c>
    </row>
    <row r="16" spans="1:19" ht="32.25" thickBot="1">
      <c r="B16" s="43" t="s">
        <v>31</v>
      </c>
      <c r="C16" s="21">
        <f>C13-C14-C15</f>
        <v>0.38140000000000002</v>
      </c>
    </row>
    <row r="23" spans="2:9" ht="16.5" thickBot="1"/>
    <row r="24" spans="2:9" ht="57" thickBot="1">
      <c r="B24" s="103" t="s">
        <v>191</v>
      </c>
      <c r="C24" s="104" t="s">
        <v>192</v>
      </c>
    </row>
    <row r="25" spans="2:9" ht="48" thickBot="1">
      <c r="B25" s="19" t="s">
        <v>193</v>
      </c>
      <c r="C25" s="105">
        <v>810</v>
      </c>
      <c r="E25" t="s">
        <v>199</v>
      </c>
      <c r="F25" t="s">
        <v>200</v>
      </c>
      <c r="G25" t="s">
        <v>15</v>
      </c>
    </row>
    <row r="26" spans="2:9" ht="32.25" thickBot="1">
      <c r="B26" s="19" t="s">
        <v>194</v>
      </c>
      <c r="C26" s="105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9" ht="95.25" thickBot="1">
      <c r="B27" s="19" t="s">
        <v>195</v>
      </c>
      <c r="C27" s="105">
        <v>557.4</v>
      </c>
    </row>
    <row r="28" spans="2:9" ht="16.5" thickBot="1">
      <c r="B28" s="19"/>
      <c r="C28" s="105"/>
    </row>
    <row r="29" spans="2:9" ht="16.5" thickBot="1">
      <c r="B29" s="19" t="s">
        <v>196</v>
      </c>
      <c r="C29" s="105">
        <v>30</v>
      </c>
    </row>
    <row r="30" spans="2:9" ht="32.25" thickBot="1">
      <c r="B30" s="19" t="s">
        <v>197</v>
      </c>
      <c r="C30" s="105">
        <v>67.599999999999994</v>
      </c>
    </row>
    <row r="31" spans="2:9" ht="16.5" thickBot="1">
      <c r="B31" s="19" t="s">
        <v>198</v>
      </c>
      <c r="C31" s="105">
        <v>2569.6</v>
      </c>
    </row>
    <row r="32" spans="2:9">
      <c r="E32" t="s">
        <v>242</v>
      </c>
      <c r="F32" t="s">
        <v>22</v>
      </c>
      <c r="H32" t="s">
        <v>243</v>
      </c>
      <c r="I32" t="s">
        <v>245</v>
      </c>
    </row>
    <row r="33" spans="2:13">
      <c r="B33" s="29" t="s">
        <v>213</v>
      </c>
      <c r="C33" s="29"/>
      <c r="E33">
        <v>760</v>
      </c>
      <c r="K33" t="s">
        <v>199</v>
      </c>
      <c r="L33" s="41"/>
      <c r="M33" s="21">
        <f>M36*L33/L36</f>
        <v>0</v>
      </c>
    </row>
    <row r="34" spans="2:13">
      <c r="B34" s="29" t="s">
        <v>235</v>
      </c>
      <c r="C34" s="29"/>
      <c r="E34">
        <v>217.7</v>
      </c>
      <c r="K34" t="s">
        <v>200</v>
      </c>
      <c r="L34" s="41">
        <f>L36-L35</f>
        <v>1032.6000000000001</v>
      </c>
      <c r="M34" s="21">
        <f>L34/L36*M36</f>
        <v>0.19333458153903765</v>
      </c>
    </row>
    <row r="35" spans="2:13">
      <c r="B35" s="29" t="s">
        <v>248</v>
      </c>
      <c r="C35" s="29"/>
      <c r="E35">
        <v>35.6</v>
      </c>
      <c r="K35" t="s">
        <v>15</v>
      </c>
      <c r="L35" s="41">
        <f>E35</f>
        <v>35.6</v>
      </c>
      <c r="M35" s="21">
        <f>M36-M33-M34</f>
        <v>6.6654184609623579E-3</v>
      </c>
    </row>
    <row r="36" spans="2:13">
      <c r="B36" s="29" t="s">
        <v>232</v>
      </c>
      <c r="C36" s="29"/>
      <c r="E36">
        <v>54.9</v>
      </c>
      <c r="L36">
        <f>SUM(E33:E36)</f>
        <v>1068.2</v>
      </c>
      <c r="M36">
        <v>0.2</v>
      </c>
    </row>
    <row r="37" spans="2:13">
      <c r="B37" s="29"/>
      <c r="C37" s="29"/>
    </row>
    <row r="38" spans="2:13">
      <c r="B38" s="29"/>
      <c r="C38" s="29"/>
    </row>
    <row r="39" spans="2:13">
      <c r="B39" s="29"/>
      <c r="C39" s="29"/>
    </row>
    <row r="40" spans="2:13">
      <c r="B40" s="29"/>
      <c r="C40" s="29"/>
    </row>
    <row r="41" spans="2:13">
      <c r="B41" s="29"/>
      <c r="C41" s="29"/>
    </row>
    <row r="42" spans="2:13">
      <c r="B42" s="29"/>
      <c r="C42" s="29"/>
    </row>
    <row r="43" spans="2:13">
      <c r="B43" s="29"/>
      <c r="C43" s="29"/>
    </row>
    <row r="44" spans="2:13">
      <c r="B44" s="29"/>
      <c r="C44" s="29"/>
    </row>
    <row r="45" spans="2:13">
      <c r="B45" s="29"/>
      <c r="C4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f>Лист1!J2</f>
        <v>0.2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91.572528813559316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493.8061016949153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2.953952542372881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1.0018164183812199E-2</v>
      </c>
      <c r="C11" t="s">
        <v>40</v>
      </c>
      <c r="D11" s="21">
        <f>B6*D7/B8*B9/1000/1000</f>
        <v>1.0018164183812199E-2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7.0491761847967974E-2</v>
      </c>
      <c r="C18" t="s">
        <v>40</v>
      </c>
      <c r="D18" t="s">
        <v>39</v>
      </c>
      <c r="E18">
        <f>B6*B7/B8*30/1000/1000</f>
        <v>2.1467494679597573E-2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2.1467494679597573E-2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34" t="s">
        <v>20</v>
      </c>
      <c r="B21" s="134" t="s">
        <v>14</v>
      </c>
      <c r="C21" s="137" t="s">
        <v>38</v>
      </c>
      <c r="D21" s="138"/>
      <c r="E21" s="139"/>
      <c r="F21" s="137"/>
      <c r="G21" s="138"/>
      <c r="H21" s="138"/>
      <c r="I21" s="138"/>
      <c r="J21" s="138"/>
      <c r="K21" s="139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36"/>
      <c r="B22" s="136"/>
      <c r="C22" s="137" t="s">
        <v>37</v>
      </c>
      <c r="D22" s="138"/>
      <c r="E22" s="139"/>
      <c r="F22" s="137">
        <v>2025</v>
      </c>
      <c r="G22" s="138"/>
      <c r="H22" s="139"/>
      <c r="I22" s="137">
        <v>2030</v>
      </c>
      <c r="J22" s="138"/>
      <c r="K22" s="139"/>
    </row>
    <row r="23" spans="1:18" ht="16.5" thickBot="1">
      <c r="A23" s="135"/>
      <c r="B23" s="135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34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35"/>
      <c r="B25" s="46" t="s">
        <v>32</v>
      </c>
      <c r="C25" s="45">
        <f>B11</f>
        <v>1.0018164183812199E-2</v>
      </c>
      <c r="D25" s="45">
        <f>E18</f>
        <v>2.1467494679597573E-2</v>
      </c>
      <c r="E25" s="45">
        <f>C25+D25</f>
        <v>3.1485658863409774E-2</v>
      </c>
      <c r="F25" s="45">
        <f>D11</f>
        <v>1.0018164183812199E-2</v>
      </c>
      <c r="G25" s="45">
        <f>E19</f>
        <v>2.1467494679597573E-2</v>
      </c>
      <c r="H25" s="45">
        <f>F25+G25</f>
        <v>3.1485658863409774E-2</v>
      </c>
      <c r="I25" s="45">
        <f>F25</f>
        <v>1.0018164183812199E-2</v>
      </c>
      <c r="J25" s="45">
        <f>G25</f>
        <v>2.1467494679597573E-2</v>
      </c>
      <c r="K25" s="45">
        <f>H25</f>
        <v>3.1485658863409774E-2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0.2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542.64406779661022</v>
      </c>
      <c r="J3" s="57">
        <f>I3*0.15</f>
        <v>81.396610169491524</v>
      </c>
      <c r="L3" s="56">
        <v>31.22</v>
      </c>
      <c r="N3" s="58">
        <f t="shared" ref="N3" si="0">J3*100/L3</f>
        <v>260.71944320785241</v>
      </c>
      <c r="O3" s="59">
        <f>N3/1000</f>
        <v>0.2607194432078524</v>
      </c>
      <c r="Q3" s="56">
        <v>80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E7" workbookViewId="0">
      <selection activeCell="CE9" sqref="CE9:CF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190</v>
      </c>
      <c r="C1" s="102">
        <f>5.7*10^(-6)</f>
        <v>5.6999999999999996E-6</v>
      </c>
      <c r="D1" s="60" t="s">
        <v>189</v>
      </c>
      <c r="BT1" s="101" t="s">
        <v>188</v>
      </c>
      <c r="BU1" s="100" t="s">
        <v>187</v>
      </c>
      <c r="BV1" s="100" t="s">
        <v>186</v>
      </c>
      <c r="CE1" s="60" t="s">
        <v>185</v>
      </c>
      <c r="CF1" s="60">
        <v>-39</v>
      </c>
    </row>
    <row r="2" spans="1:84" ht="16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T2" s="99">
        <v>2.9125607478073401</v>
      </c>
      <c r="BU2" s="98">
        <v>20.887764115419898</v>
      </c>
      <c r="BV2" s="98">
        <v>-1.87928919400643</v>
      </c>
      <c r="CE2" s="60" t="s">
        <v>184</v>
      </c>
      <c r="CF2" s="90">
        <v>-9</v>
      </c>
    </row>
    <row r="3" spans="1:84" ht="15.7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T3" s="95"/>
      <c r="BU3" s="96">
        <v>2018</v>
      </c>
      <c r="BV3" s="95">
        <f>IF((BP9&lt;=3),0.8,(IF(((BP9&gt;3)*AND(BP9&lt;=17)),1,(0.5*EXP(BP9/20)))))</f>
        <v>1.9287127653484872</v>
      </c>
      <c r="BY3" s="60" t="s">
        <v>183</v>
      </c>
      <c r="CE3" s="90" t="s">
        <v>182</v>
      </c>
      <c r="CF3" s="90">
        <v>40</v>
      </c>
    </row>
    <row r="4" spans="1:84" ht="15.7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T4" s="95"/>
      <c r="BU4" s="96"/>
      <c r="BV4" s="95"/>
      <c r="CE4" s="60" t="s">
        <v>181</v>
      </c>
      <c r="CF4" s="60">
        <v>230</v>
      </c>
    </row>
    <row r="5" spans="1:84" ht="15.7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T5" s="95"/>
      <c r="BU5" s="96"/>
      <c r="BV5" s="95"/>
      <c r="CE5" s="60" t="s">
        <v>180</v>
      </c>
      <c r="CF5" s="60">
        <v>27</v>
      </c>
    </row>
    <row r="6" spans="1:84" ht="15.7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T6" s="95"/>
      <c r="BU6" s="96"/>
      <c r="BV6" s="95"/>
      <c r="CE6" s="60" t="s">
        <v>179</v>
      </c>
      <c r="CF6" s="60">
        <f>350-CF4</f>
        <v>120</v>
      </c>
    </row>
    <row r="7" spans="1:84" ht="15.7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T7" s="95"/>
      <c r="BU7" s="96"/>
      <c r="BV7" s="95"/>
      <c r="CE7" s="60" t="s">
        <v>178</v>
      </c>
      <c r="CF7" s="60">
        <v>-43</v>
      </c>
    </row>
    <row r="8" spans="1:84" ht="115.5">
      <c r="A8" s="94" t="s">
        <v>177</v>
      </c>
      <c r="B8" s="94" t="s">
        <v>176</v>
      </c>
      <c r="C8" s="94" t="s">
        <v>175</v>
      </c>
      <c r="D8" s="94" t="s">
        <v>174</v>
      </c>
      <c r="E8" s="94" t="s">
        <v>173</v>
      </c>
      <c r="F8" s="94" t="s">
        <v>172</v>
      </c>
      <c r="G8" s="94" t="s">
        <v>171</v>
      </c>
      <c r="H8" s="94" t="s">
        <v>170</v>
      </c>
      <c r="I8" s="94" t="s">
        <v>169</v>
      </c>
      <c r="J8" s="94" t="s">
        <v>168</v>
      </c>
      <c r="K8" s="94" t="s">
        <v>167</v>
      </c>
      <c r="L8" s="94" t="s">
        <v>166</v>
      </c>
      <c r="M8" s="94" t="s">
        <v>165</v>
      </c>
      <c r="N8" s="94" t="s">
        <v>164</v>
      </c>
      <c r="O8" s="94" t="s">
        <v>163</v>
      </c>
      <c r="P8" s="94" t="s">
        <v>162</v>
      </c>
      <c r="Q8" s="94" t="s">
        <v>161</v>
      </c>
      <c r="R8" s="94" t="s">
        <v>160</v>
      </c>
      <c r="S8" s="94" t="s">
        <v>159</v>
      </c>
      <c r="T8" s="94" t="s">
        <v>158</v>
      </c>
      <c r="U8" s="94" t="s">
        <v>157</v>
      </c>
      <c r="V8" s="94" t="s">
        <v>156</v>
      </c>
      <c r="W8" s="94" t="s">
        <v>155</v>
      </c>
      <c r="X8" s="94" t="s">
        <v>154</v>
      </c>
      <c r="Y8" s="94" t="s">
        <v>153</v>
      </c>
      <c r="Z8" s="94" t="s">
        <v>152</v>
      </c>
      <c r="AA8" s="94" t="s">
        <v>151</v>
      </c>
      <c r="AB8" s="94" t="s">
        <v>150</v>
      </c>
      <c r="AC8" s="94" t="s">
        <v>149</v>
      </c>
      <c r="AD8" s="94" t="s">
        <v>148</v>
      </c>
      <c r="AE8" s="94" t="s">
        <v>147</v>
      </c>
      <c r="AF8" s="94" t="s">
        <v>146</v>
      </c>
      <c r="AG8" s="94" t="s">
        <v>145</v>
      </c>
      <c r="AH8" s="94" t="s">
        <v>144</v>
      </c>
      <c r="AI8" s="94" t="s">
        <v>143</v>
      </c>
      <c r="AJ8" s="94" t="s">
        <v>142</v>
      </c>
      <c r="AK8" s="94" t="s">
        <v>141</v>
      </c>
      <c r="AL8" s="94" t="s">
        <v>140</v>
      </c>
      <c r="AM8" s="94" t="s">
        <v>139</v>
      </c>
      <c r="AN8" s="94" t="s">
        <v>138</v>
      </c>
      <c r="AO8" s="94" t="s">
        <v>137</v>
      </c>
      <c r="AP8" s="94" t="s">
        <v>136</v>
      </c>
      <c r="AQ8" s="94" t="s">
        <v>135</v>
      </c>
      <c r="AR8" s="94" t="s">
        <v>134</v>
      </c>
      <c r="AS8" s="94" t="s">
        <v>133</v>
      </c>
      <c r="AT8" s="94" t="s">
        <v>132</v>
      </c>
      <c r="AU8" s="94" t="s">
        <v>131</v>
      </c>
      <c r="AV8" s="94" t="s">
        <v>130</v>
      </c>
      <c r="AW8" s="94" t="s">
        <v>129</v>
      </c>
      <c r="AX8" s="94" t="s">
        <v>128</v>
      </c>
      <c r="AY8" s="94" t="s">
        <v>127</v>
      </c>
      <c r="AZ8" s="94" t="s">
        <v>126</v>
      </c>
      <c r="BA8" s="94" t="s">
        <v>125</v>
      </c>
      <c r="BB8" s="94" t="s">
        <v>124</v>
      </c>
      <c r="BC8" s="94" t="s">
        <v>123</v>
      </c>
      <c r="BD8" s="94" t="s">
        <v>122</v>
      </c>
      <c r="BE8" s="94" t="s">
        <v>121</v>
      </c>
      <c r="BF8" s="94" t="s">
        <v>120</v>
      </c>
      <c r="BG8" s="94" t="s">
        <v>119</v>
      </c>
      <c r="BH8" s="94" t="s">
        <v>118</v>
      </c>
      <c r="BI8" s="94" t="s">
        <v>117</v>
      </c>
      <c r="BJ8" s="94" t="s">
        <v>116</v>
      </c>
      <c r="BK8" s="94" t="s">
        <v>115</v>
      </c>
      <c r="BL8" s="94" t="s">
        <v>114</v>
      </c>
      <c r="BM8" s="94" t="s">
        <v>113</v>
      </c>
      <c r="BO8" s="60" t="s">
        <v>112</v>
      </c>
      <c r="BP8" s="73" t="s">
        <v>111</v>
      </c>
      <c r="BQ8" s="93" t="s">
        <v>110</v>
      </c>
      <c r="BR8" s="92" t="s">
        <v>109</v>
      </c>
      <c r="BS8" s="91" t="s">
        <v>108</v>
      </c>
      <c r="BT8" s="60" t="s">
        <v>107</v>
      </c>
      <c r="BV8" s="73" t="s">
        <v>106</v>
      </c>
      <c r="BW8" s="73" t="s">
        <v>105</v>
      </c>
      <c r="BY8" s="60" t="s">
        <v>104</v>
      </c>
      <c r="BZ8" s="73" t="s">
        <v>103</v>
      </c>
      <c r="CA8" s="60" t="s">
        <v>102</v>
      </c>
      <c r="CB8" s="73" t="s">
        <v>101</v>
      </c>
      <c r="CC8" s="60" t="s">
        <v>100</v>
      </c>
      <c r="CD8" s="90" t="s">
        <v>99</v>
      </c>
      <c r="CE8" s="73" t="s">
        <v>98</v>
      </c>
      <c r="CF8" s="73" t="s">
        <v>97</v>
      </c>
    </row>
    <row r="9" spans="1:84" ht="15" customHeight="1" thickBot="1">
      <c r="A9" s="72">
        <v>1</v>
      </c>
      <c r="B9" s="71" t="s">
        <v>89</v>
      </c>
      <c r="C9" s="71" t="s">
        <v>72</v>
      </c>
      <c r="D9" s="10">
        <v>23.15918791094705</v>
      </c>
      <c r="E9" s="6">
        <v>0.09</v>
      </c>
      <c r="F9" s="72">
        <f t="shared" ref="F9:F29" si="0">E9</f>
        <v>0.09</v>
      </c>
      <c r="G9" s="72">
        <v>0.5</v>
      </c>
      <c r="H9" s="71" t="s">
        <v>96</v>
      </c>
      <c r="I9" s="72">
        <v>0.5</v>
      </c>
      <c r="J9" s="71" t="s">
        <v>96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95</v>
      </c>
      <c r="U9" s="72" t="s">
        <v>94</v>
      </c>
      <c r="V9" s="72">
        <v>1</v>
      </c>
      <c r="W9" s="72">
        <v>1</v>
      </c>
      <c r="X9" s="72"/>
      <c r="Y9" s="72">
        <v>1.2</v>
      </c>
      <c r="Z9" s="72" t="s">
        <v>93</v>
      </c>
      <c r="AA9" s="72" t="s">
        <v>93</v>
      </c>
      <c r="AB9" s="72">
        <v>0.05</v>
      </c>
      <c r="AC9" s="72">
        <v>0.05</v>
      </c>
      <c r="AD9" s="72" t="s">
        <v>92</v>
      </c>
      <c r="AE9" s="72" t="s">
        <v>92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1991</v>
      </c>
      <c r="BP9" s="64">
        <f t="shared" ref="BP9:BP29" si="1">$BU$3-BO9</f>
        <v>27</v>
      </c>
      <c r="BQ9" s="70">
        <f t="shared" ref="BQ9:BQ29" si="2">IF((BP9&lt;=3),0.8,(IF(((BP9&gt;3)*AND(BP9&lt;=17)),1,(0.5*EXP(BP9/20)))))</f>
        <v>1.9287127653484872</v>
      </c>
      <c r="BR9" s="69">
        <f t="shared" ref="BR9:BR29" si="3">$C$1*(0.1*BP9)^(BQ9-1)</f>
        <v>1.4337977348981592E-5</v>
      </c>
      <c r="BS9" s="68">
        <f t="shared" ref="BS9:BS29" si="4">BR9*(D9/1000)</f>
        <v>3.3205591168796716E-7</v>
      </c>
      <c r="BT9" s="67">
        <f t="shared" ref="BT9:BT29" si="5">EXP((-1)*BS9*24*249)</f>
        <v>0.99801760142455465</v>
      </c>
      <c r="BV9" s="66">
        <f t="shared" ref="BV9:BV29" si="6">$BT$2*(1+($BU$2+$BV$2*D9/1000)*F9^1.2)</f>
        <v>6.2881694340593306</v>
      </c>
      <c r="BW9" s="66">
        <f t="shared" ref="BW9:BW29" si="7">1/BV9</f>
        <v>0.15902879375094217</v>
      </c>
      <c r="BX9" s="65">
        <f t="shared" ref="BX9:BX29" si="8">BS9/BW9</f>
        <v>2.0880238342749795E-6</v>
      </c>
      <c r="BY9" s="60">
        <f>(1+SUM(BX9:BX17))^(-1)</f>
        <v>0.99997101481951223</v>
      </c>
      <c r="BZ9" s="61">
        <f t="shared" ref="BZ9:BZ29" si="9">BY$9*BX9</f>
        <v>2.0879633125272802E-6</v>
      </c>
      <c r="CA9" s="64">
        <f t="shared" ref="CA9:CA29" si="10">$CF$1+(20-$CF$1)/EXP(BV9/$CF$3)</f>
        <v>11.417241410433817</v>
      </c>
      <c r="CB9" s="63">
        <f t="shared" ref="CB9:CB20" si="11">(20-12*EXP(BV9/$CF$3))/(1-EXP(BV9/$CF$3))</f>
        <v>-34.993973682750081</v>
      </c>
      <c r="CC9" s="62">
        <f t="shared" ref="CC9:CC20" si="12">$CF$5*24+($CF$4*24-$CF$6*24)*((CB9-$CF$1)/(8-$CF$1))^(($CF$2-$CF$1)/(8-$CF$2))</f>
        <v>682.23383757988188</v>
      </c>
      <c r="CD9" s="60">
        <f t="shared" ref="CD9:CD29" si="13">BS9*CC9</f>
        <v>2.2653977892196818E-4</v>
      </c>
      <c r="CE9" s="89">
        <f>EXP((-1)*$BY$9*(SUM(CD9:CD17)-CD9))</f>
        <v>0.9970865838084374</v>
      </c>
      <c r="CF9" s="89">
        <f>BY9</f>
        <v>0.99997101481951223</v>
      </c>
    </row>
    <row r="10" spans="1:84" ht="15" customHeight="1" thickBot="1">
      <c r="A10" s="72"/>
      <c r="B10" s="71" t="s">
        <v>87</v>
      </c>
      <c r="C10" s="71" t="s">
        <v>91</v>
      </c>
      <c r="D10" s="160">
        <v>24.960664436497861</v>
      </c>
      <c r="E10" s="6">
        <v>0.09</v>
      </c>
      <c r="F10" s="72">
        <f t="shared" si="0"/>
        <v>0.09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1991</v>
      </c>
      <c r="BP10" s="64">
        <f t="shared" si="1"/>
        <v>27</v>
      </c>
      <c r="BQ10" s="70">
        <f t="shared" si="2"/>
        <v>1.9287127653484872</v>
      </c>
      <c r="BR10" s="69">
        <f t="shared" si="3"/>
        <v>1.4337977348981592E-5</v>
      </c>
      <c r="BS10" s="68">
        <f t="shared" si="4"/>
        <v>3.5788544130603673E-7</v>
      </c>
      <c r="BT10" s="67">
        <f t="shared" si="5"/>
        <v>0.9978635620420423</v>
      </c>
      <c r="BV10" s="66">
        <f t="shared" si="6"/>
        <v>6.2876211719564346</v>
      </c>
      <c r="BW10" s="66">
        <f t="shared" si="7"/>
        <v>0.15904266059477681</v>
      </c>
      <c r="BX10" s="65">
        <f t="shared" si="8"/>
        <v>2.2502480778908083E-6</v>
      </c>
      <c r="BZ10" s="61">
        <f t="shared" si="9"/>
        <v>2.2501828540441282E-6</v>
      </c>
      <c r="CA10" s="64">
        <f t="shared" si="10"/>
        <v>11.417932461739717</v>
      </c>
      <c r="CB10" s="63">
        <f t="shared" si="11"/>
        <v>-34.998401946354463</v>
      </c>
      <c r="CC10" s="62">
        <f t="shared" si="12"/>
        <v>682.1670856269709</v>
      </c>
      <c r="CD10" s="60">
        <f t="shared" si="13"/>
        <v>2.4413766848406141E-4</v>
      </c>
      <c r="CE10" s="61">
        <f t="shared" ref="CE10:CE29" si="14">EXP((-1)*$BY$9*(SUM(CD10:CD909)-CD10))</f>
        <v>0.99733003286199884</v>
      </c>
    </row>
    <row r="11" spans="1:84" ht="15" customHeight="1" thickBot="1">
      <c r="A11" s="72"/>
      <c r="B11" s="71" t="s">
        <v>91</v>
      </c>
      <c r="C11" s="71" t="s">
        <v>72</v>
      </c>
      <c r="D11" s="160">
        <v>30.625100934363818</v>
      </c>
      <c r="E11" s="6">
        <v>0.09</v>
      </c>
      <c r="F11" s="72">
        <f t="shared" si="0"/>
        <v>0.09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1991</v>
      </c>
      <c r="BP11" s="64">
        <f t="shared" si="1"/>
        <v>27</v>
      </c>
      <c r="BQ11" s="70">
        <f t="shared" si="2"/>
        <v>1.9287127653484872</v>
      </c>
      <c r="BR11" s="69">
        <f t="shared" si="3"/>
        <v>1.4337977348981592E-5</v>
      </c>
      <c r="BS11" s="68">
        <f t="shared" si="4"/>
        <v>4.3910200350718339E-7</v>
      </c>
      <c r="BT11" s="67">
        <f t="shared" si="5"/>
        <v>0.99737936629861601</v>
      </c>
      <c r="BV11" s="66">
        <f t="shared" si="6"/>
        <v>6.2858972550349499</v>
      </c>
      <c r="BW11" s="66">
        <f t="shared" si="7"/>
        <v>0.15908627828732144</v>
      </c>
      <c r="BX11" s="65">
        <f t="shared" si="8"/>
        <v>2.7601500785261508E-6</v>
      </c>
      <c r="BZ11" s="61">
        <f t="shared" si="9"/>
        <v>2.7600700750779516E-6</v>
      </c>
      <c r="CA11" s="64">
        <f t="shared" si="10"/>
        <v>11.420105416737229</v>
      </c>
      <c r="CB11" s="63">
        <f t="shared" si="11"/>
        <v>-35.012330911472283</v>
      </c>
      <c r="CC11" s="62">
        <f t="shared" si="12"/>
        <v>681.9574876408476</v>
      </c>
      <c r="CD11" s="60">
        <f t="shared" si="13"/>
        <v>2.9944889912982144E-4</v>
      </c>
      <c r="CE11" s="61">
        <f t="shared" si="14"/>
        <v>0.9976287183029876</v>
      </c>
    </row>
    <row r="12" spans="1:84" ht="15" customHeight="1" thickBot="1">
      <c r="A12" s="72"/>
      <c r="B12" s="71" t="s">
        <v>72</v>
      </c>
      <c r="C12" s="71" t="s">
        <v>90</v>
      </c>
      <c r="D12" s="160">
        <v>69.347560272234389</v>
      </c>
      <c r="E12" s="6">
        <v>0.09</v>
      </c>
      <c r="F12" s="72">
        <f t="shared" si="0"/>
        <v>0.09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1991</v>
      </c>
      <c r="BP12" s="64">
        <f t="shared" si="1"/>
        <v>27</v>
      </c>
      <c r="BQ12" s="70">
        <f t="shared" si="2"/>
        <v>1.9287127653484872</v>
      </c>
      <c r="BR12" s="69">
        <f t="shared" si="3"/>
        <v>1.4337977348981592E-5</v>
      </c>
      <c r="BS12" s="68">
        <f t="shared" si="4"/>
        <v>9.9430374839043242E-7</v>
      </c>
      <c r="BT12" s="67">
        <f t="shared" si="5"/>
        <v>0.99407565932572806</v>
      </c>
      <c r="BV12" s="66">
        <f t="shared" si="6"/>
        <v>6.2741124459159563</v>
      </c>
      <c r="BW12" s="66">
        <f t="shared" si="7"/>
        <v>0.159385093687783</v>
      </c>
      <c r="BX12" s="65">
        <f t="shared" si="8"/>
        <v>6.2383735227972991E-6</v>
      </c>
      <c r="BZ12" s="61">
        <f t="shared" si="9"/>
        <v>6.238192702414791E-6</v>
      </c>
      <c r="CA12" s="64">
        <f t="shared" si="10"/>
        <v>11.434962388164315</v>
      </c>
      <c r="CB12" s="63">
        <f t="shared" si="11"/>
        <v>-35.107755667968341</v>
      </c>
      <c r="CC12" s="62">
        <f t="shared" si="12"/>
        <v>680.53663087500081</v>
      </c>
      <c r="CD12" s="60">
        <f t="shared" si="13"/>
        <v>6.7666012299600936E-4</v>
      </c>
      <c r="CE12" s="61">
        <f t="shared" si="14"/>
        <v>0.99830398273748311</v>
      </c>
    </row>
    <row r="13" spans="1:84" ht="15" customHeight="1" thickBot="1">
      <c r="A13" s="72"/>
      <c r="B13" s="71" t="s">
        <v>90</v>
      </c>
      <c r="C13" s="71" t="s">
        <v>88</v>
      </c>
      <c r="D13" s="160">
        <v>8.2459337870573304</v>
      </c>
      <c r="E13" s="6">
        <v>0.09</v>
      </c>
      <c r="F13" s="72">
        <f t="shared" si="0"/>
        <v>0.09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1991</v>
      </c>
      <c r="BP13" s="64">
        <f t="shared" si="1"/>
        <v>27</v>
      </c>
      <c r="BQ13" s="70">
        <f t="shared" si="2"/>
        <v>1.9287127653484872</v>
      </c>
      <c r="BR13" s="69">
        <f t="shared" si="3"/>
        <v>1.4337977348981592E-5</v>
      </c>
      <c r="BS13" s="68">
        <f t="shared" si="4"/>
        <v>1.1823001186003001E-7</v>
      </c>
      <c r="BT13" s="67">
        <f t="shared" si="5"/>
        <v>0.9992937069915383</v>
      </c>
      <c r="BV13" s="66">
        <f t="shared" si="6"/>
        <v>6.2927081399214657</v>
      </c>
      <c r="BW13" s="66">
        <f t="shared" si="7"/>
        <v>0.15891409195603981</v>
      </c>
      <c r="BX13" s="65">
        <f t="shared" si="8"/>
        <v>7.4398695801462223E-7</v>
      </c>
      <c r="BZ13" s="61">
        <f t="shared" si="9"/>
        <v>7.4396539341836368E-7</v>
      </c>
      <c r="CA13" s="64">
        <f t="shared" si="10"/>
        <v>11.411521009251622</v>
      </c>
      <c r="CB13" s="63">
        <f t="shared" si="11"/>
        <v>-34.957344660031751</v>
      </c>
      <c r="CC13" s="62">
        <f t="shared" si="12"/>
        <v>682.78814926312566</v>
      </c>
      <c r="CD13" s="60">
        <f t="shared" si="13"/>
        <v>8.072605098526729E-5</v>
      </c>
      <c r="CE13" s="61">
        <f t="shared" si="14"/>
        <v>0.99838457279252213</v>
      </c>
    </row>
    <row r="14" spans="1:84" ht="15" customHeight="1" thickBot="1">
      <c r="A14" s="72"/>
      <c r="B14" s="71" t="s">
        <v>89</v>
      </c>
      <c r="C14" s="71" t="s">
        <v>88</v>
      </c>
      <c r="D14" s="160">
        <v>93.751067020417565</v>
      </c>
      <c r="E14" s="6">
        <v>0.09</v>
      </c>
      <c r="F14" s="72">
        <f t="shared" si="0"/>
        <v>0.09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1991</v>
      </c>
      <c r="BP14" s="64">
        <f t="shared" si="1"/>
        <v>27</v>
      </c>
      <c r="BQ14" s="70">
        <f t="shared" si="2"/>
        <v>1.9287127653484872</v>
      </c>
      <c r="BR14" s="69">
        <f t="shared" si="3"/>
        <v>1.4337977348981592E-5</v>
      </c>
      <c r="BS14" s="68">
        <f t="shared" si="4"/>
        <v>1.3442006753816021E-6</v>
      </c>
      <c r="BT14" s="67">
        <f t="shared" si="5"/>
        <v>0.99199923463378958</v>
      </c>
      <c r="BV14" s="66">
        <f t="shared" si="6"/>
        <v>6.2666854726870094</v>
      </c>
      <c r="BW14" s="66">
        <f t="shared" si="7"/>
        <v>0.15957398920983715</v>
      </c>
      <c r="BX14" s="65">
        <f t="shared" si="8"/>
        <v>8.4236828447899526E-6</v>
      </c>
      <c r="BZ14" s="61">
        <f t="shared" si="9"/>
        <v>8.4234386828223242E-6</v>
      </c>
      <c r="CA14" s="64">
        <f t="shared" si="10"/>
        <v>11.4443277354762</v>
      </c>
      <c r="CB14" s="63">
        <f t="shared" si="11"/>
        <v>-35.16807860408047</v>
      </c>
      <c r="CC14" s="62">
        <f t="shared" si="12"/>
        <v>679.65203902865358</v>
      </c>
      <c r="CD14" s="60">
        <f t="shared" si="13"/>
        <v>9.1358872988679912E-4</v>
      </c>
      <c r="CE14" s="61">
        <f t="shared" si="14"/>
        <v>0.99929707599933815</v>
      </c>
    </row>
    <row r="15" spans="1:84" ht="15" customHeight="1" thickBot="1">
      <c r="A15" s="72"/>
      <c r="B15" s="71" t="s">
        <v>87</v>
      </c>
      <c r="C15" s="71" t="s">
        <v>86</v>
      </c>
      <c r="D15" s="160">
        <v>39.335332795016718</v>
      </c>
      <c r="E15" s="6">
        <v>0.09</v>
      </c>
      <c r="F15" s="72">
        <f t="shared" si="0"/>
        <v>0.09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1991</v>
      </c>
      <c r="BP15" s="64">
        <f t="shared" si="1"/>
        <v>27</v>
      </c>
      <c r="BQ15" s="70">
        <f t="shared" si="2"/>
        <v>1.9287127653484872</v>
      </c>
      <c r="BR15" s="69">
        <f t="shared" si="3"/>
        <v>1.4337977348981592E-5</v>
      </c>
      <c r="BS15" s="68">
        <f t="shared" si="4"/>
        <v>5.6398911062960246E-7</v>
      </c>
      <c r="BT15" s="67">
        <f t="shared" si="5"/>
        <v>0.99663527449365008</v>
      </c>
      <c r="BV15" s="66">
        <f t="shared" si="6"/>
        <v>6.2832463795065054</v>
      </c>
      <c r="BW15" s="66">
        <f t="shared" si="7"/>
        <v>0.15915339612681897</v>
      </c>
      <c r="BX15" s="65">
        <f t="shared" si="8"/>
        <v>3.5436825374445438E-6</v>
      </c>
      <c r="BZ15" s="61">
        <f t="shared" si="9"/>
        <v>3.5435798231666046E-6</v>
      </c>
      <c r="CA15" s="64">
        <f t="shared" si="10"/>
        <v>11.42344696305107</v>
      </c>
      <c r="CB15" s="63">
        <f t="shared" si="11"/>
        <v>-35.033764493329812</v>
      </c>
      <c r="CC15" s="62">
        <f t="shared" si="12"/>
        <v>681.63605520643046</v>
      </c>
      <c r="CD15" s="60">
        <f t="shared" si="13"/>
        <v>3.844353125489453E-4</v>
      </c>
      <c r="CE15" s="61">
        <f t="shared" si="14"/>
        <v>0.99968130379647901</v>
      </c>
    </row>
    <row r="16" spans="1:84" ht="15" customHeight="1" thickBot="1">
      <c r="A16" s="72"/>
      <c r="B16" s="71" t="s">
        <v>86</v>
      </c>
      <c r="C16" s="71" t="s">
        <v>85</v>
      </c>
      <c r="D16" s="160">
        <v>13.501787980159184</v>
      </c>
      <c r="E16" s="6">
        <v>0.09</v>
      </c>
      <c r="F16" s="72">
        <f t="shared" si="0"/>
        <v>0.09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1991</v>
      </c>
      <c r="BP16" s="64">
        <f t="shared" si="1"/>
        <v>27</v>
      </c>
      <c r="BQ16" s="70">
        <f t="shared" si="2"/>
        <v>1.9287127653484872</v>
      </c>
      <c r="BR16" s="69">
        <f t="shared" si="3"/>
        <v>1.4337977348981592E-5</v>
      </c>
      <c r="BS16" s="68">
        <f t="shared" si="4"/>
        <v>1.935883302302743E-7</v>
      </c>
      <c r="BT16" s="67">
        <f t="shared" si="5"/>
        <v>0.99884378507069449</v>
      </c>
      <c r="BV16" s="66">
        <f t="shared" si="6"/>
        <v>6.2911085711057941</v>
      </c>
      <c r="BW16" s="66">
        <f t="shared" si="7"/>
        <v>0.15895449723962227</v>
      </c>
      <c r="BX16" s="65">
        <f t="shared" si="8"/>
        <v>1.2178852035777377E-6</v>
      </c>
      <c r="BZ16" s="61">
        <f t="shared" si="9"/>
        <v>1.2178499029552986E-6</v>
      </c>
      <c r="CA16" s="64">
        <f t="shared" si="10"/>
        <v>11.413536966983564</v>
      </c>
      <c r="CB16" s="63">
        <f t="shared" si="11"/>
        <v>-34.970247724246697</v>
      </c>
      <c r="CC16" s="62">
        <f t="shared" si="12"/>
        <v>682.59244542432157</v>
      </c>
      <c r="CD16" s="60">
        <f t="shared" si="13"/>
        <v>1.3214193173749405E-4</v>
      </c>
      <c r="CE16" s="61">
        <f t="shared" si="14"/>
        <v>0.99981340851398848</v>
      </c>
    </row>
    <row r="17" spans="1:83" ht="15" customHeight="1" thickBot="1">
      <c r="A17" s="72"/>
      <c r="B17" s="71" t="s">
        <v>85</v>
      </c>
      <c r="C17" s="71" t="s">
        <v>84</v>
      </c>
      <c r="D17" s="160">
        <v>19.073364863306029</v>
      </c>
      <c r="E17" s="6">
        <v>0.09</v>
      </c>
      <c r="F17" s="72">
        <f t="shared" si="0"/>
        <v>0.09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1991</v>
      </c>
      <c r="BP17" s="64">
        <f t="shared" si="1"/>
        <v>27</v>
      </c>
      <c r="BQ17" s="70">
        <f t="shared" si="2"/>
        <v>1.9287127653484872</v>
      </c>
      <c r="BR17" s="69">
        <f t="shared" si="3"/>
        <v>1.4337977348981592E-5</v>
      </c>
      <c r="BS17" s="68">
        <f t="shared" si="4"/>
        <v>2.7347347337894324E-7</v>
      </c>
      <c r="BT17" s="67">
        <f t="shared" si="5"/>
        <v>0.99836705722733188</v>
      </c>
      <c r="BV17" s="66">
        <f t="shared" si="6"/>
        <v>6.2894129151174516</v>
      </c>
      <c r="BW17" s="66">
        <f t="shared" si="7"/>
        <v>0.15899735213701191</v>
      </c>
      <c r="BX17" s="65">
        <f t="shared" si="8"/>
        <v>1.7199875954115541E-6</v>
      </c>
      <c r="BZ17" s="61">
        <f t="shared" si="9"/>
        <v>1.7199377412606643E-6</v>
      </c>
      <c r="CA17" s="64">
        <f t="shared" si="10"/>
        <v>11.415674112677834</v>
      </c>
      <c r="CB17" s="63">
        <f t="shared" si="11"/>
        <v>-34.983933065388058</v>
      </c>
      <c r="CC17" s="62">
        <f t="shared" si="12"/>
        <v>682.38539962283278</v>
      </c>
      <c r="CD17" s="60">
        <f t="shared" si="13"/>
        <v>1.8661430541793431E-4</v>
      </c>
      <c r="CE17" s="61">
        <f t="shared" si="14"/>
        <v>1</v>
      </c>
    </row>
    <row r="18" spans="1:83" ht="15" customHeight="1" thickBot="1">
      <c r="A18" s="72"/>
      <c r="B18" s="71" t="s">
        <v>84</v>
      </c>
      <c r="C18" s="71" t="s">
        <v>83</v>
      </c>
      <c r="D18" s="111"/>
      <c r="E18" s="6"/>
      <c r="F18" s="72">
        <f t="shared" si="0"/>
        <v>0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1991</v>
      </c>
      <c r="BP18" s="64">
        <f t="shared" si="1"/>
        <v>27</v>
      </c>
      <c r="BQ18" s="70">
        <f t="shared" si="2"/>
        <v>1.9287127653484872</v>
      </c>
      <c r="BR18" s="69">
        <f t="shared" si="3"/>
        <v>1.4337977348981592E-5</v>
      </c>
      <c r="BS18" s="68">
        <f t="shared" si="4"/>
        <v>0</v>
      </c>
      <c r="BT18" s="67">
        <f t="shared" si="5"/>
        <v>1</v>
      </c>
      <c r="BV18" s="66">
        <f t="shared" si="6"/>
        <v>2.9125607478073401</v>
      </c>
      <c r="BW18" s="66">
        <f t="shared" si="7"/>
        <v>0.3433404782210393</v>
      </c>
      <c r="BX18" s="65">
        <f t="shared" si="8"/>
        <v>0</v>
      </c>
      <c r="BZ18" s="61">
        <f t="shared" si="9"/>
        <v>0</v>
      </c>
      <c r="CA18" s="64">
        <f t="shared" si="10"/>
        <v>15.856650334268018</v>
      </c>
      <c r="CB18" s="63">
        <f t="shared" si="11"/>
        <v>-93.917491420945424</v>
      </c>
      <c r="CC18" s="62">
        <v>0</v>
      </c>
      <c r="CD18" s="60">
        <f t="shared" si="13"/>
        <v>0</v>
      </c>
      <c r="CE18" s="61">
        <f t="shared" si="14"/>
        <v>1</v>
      </c>
    </row>
    <row r="19" spans="1:83" ht="15" customHeight="1" thickBot="1">
      <c r="A19" s="72"/>
      <c r="B19" s="71" t="s">
        <v>83</v>
      </c>
      <c r="C19" s="71" t="s">
        <v>82</v>
      </c>
      <c r="D19" s="111"/>
      <c r="E19" s="6"/>
      <c r="F19" s="72">
        <f t="shared" si="0"/>
        <v>0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1991</v>
      </c>
      <c r="BP19" s="64">
        <f t="shared" si="1"/>
        <v>27</v>
      </c>
      <c r="BQ19" s="70">
        <f t="shared" si="2"/>
        <v>1.9287127653484872</v>
      </c>
      <c r="BR19" s="69">
        <f t="shared" si="3"/>
        <v>1.4337977348981592E-5</v>
      </c>
      <c r="BS19" s="68">
        <f t="shared" si="4"/>
        <v>0</v>
      </c>
      <c r="BT19" s="67">
        <f t="shared" si="5"/>
        <v>1</v>
      </c>
      <c r="BV19" s="66">
        <f t="shared" si="6"/>
        <v>2.9125607478073401</v>
      </c>
      <c r="BW19" s="66">
        <f t="shared" si="7"/>
        <v>0.3433404782210393</v>
      </c>
      <c r="BX19" s="65">
        <f t="shared" si="8"/>
        <v>0</v>
      </c>
      <c r="BZ19" s="61">
        <f t="shared" si="9"/>
        <v>0</v>
      </c>
      <c r="CA19" s="64">
        <f t="shared" si="10"/>
        <v>15.856650334268018</v>
      </c>
      <c r="CB19" s="63">
        <f t="shared" si="11"/>
        <v>-93.917491420945424</v>
      </c>
      <c r="CC19" s="62">
        <v>0</v>
      </c>
      <c r="CD19" s="60">
        <f t="shared" si="13"/>
        <v>0</v>
      </c>
      <c r="CE19" s="61">
        <f t="shared" si="14"/>
        <v>1</v>
      </c>
    </row>
    <row r="20" spans="1:83" ht="15" customHeight="1" thickBot="1">
      <c r="A20" s="72"/>
      <c r="B20" s="71" t="s">
        <v>82</v>
      </c>
      <c r="C20" s="71" t="s">
        <v>81</v>
      </c>
      <c r="D20" s="111"/>
      <c r="E20" s="6"/>
      <c r="F20" s="72">
        <f t="shared" si="0"/>
        <v>0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1991</v>
      </c>
      <c r="BP20" s="64">
        <f t="shared" si="1"/>
        <v>27</v>
      </c>
      <c r="BQ20" s="70">
        <f t="shared" si="2"/>
        <v>1.9287127653484872</v>
      </c>
      <c r="BR20" s="69">
        <f t="shared" si="3"/>
        <v>1.4337977348981592E-5</v>
      </c>
      <c r="BS20" s="68">
        <f t="shared" si="4"/>
        <v>0</v>
      </c>
      <c r="BT20" s="67">
        <f t="shared" si="5"/>
        <v>1</v>
      </c>
      <c r="BV20" s="66">
        <f t="shared" si="6"/>
        <v>2.9125607478073401</v>
      </c>
      <c r="BW20" s="66">
        <f t="shared" si="7"/>
        <v>0.3433404782210393</v>
      </c>
      <c r="BX20" s="65">
        <f t="shared" si="8"/>
        <v>0</v>
      </c>
      <c r="BZ20" s="61">
        <f t="shared" si="9"/>
        <v>0</v>
      </c>
      <c r="CA20" s="64">
        <f t="shared" si="10"/>
        <v>15.856650334268018</v>
      </c>
      <c r="CB20" s="63">
        <f t="shared" si="11"/>
        <v>-93.917491420945424</v>
      </c>
      <c r="CC20" s="62">
        <v>0</v>
      </c>
      <c r="CD20" s="60">
        <f t="shared" si="13"/>
        <v>0</v>
      </c>
      <c r="CE20" s="61">
        <f t="shared" si="14"/>
        <v>1</v>
      </c>
    </row>
    <row r="21" spans="1:83" ht="15" customHeight="1" thickBot="1">
      <c r="A21" s="72"/>
      <c r="B21" s="71" t="s">
        <v>81</v>
      </c>
      <c r="C21" s="71" t="s">
        <v>80</v>
      </c>
      <c r="D21" s="111"/>
      <c r="E21" s="6"/>
      <c r="F21" s="72">
        <f t="shared" si="0"/>
        <v>0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1991</v>
      </c>
      <c r="BP21" s="64">
        <f t="shared" si="1"/>
        <v>27</v>
      </c>
      <c r="BQ21" s="70">
        <f t="shared" si="2"/>
        <v>1.9287127653484872</v>
      </c>
      <c r="BR21" s="69">
        <f t="shared" si="3"/>
        <v>1.4337977348981592E-5</v>
      </c>
      <c r="BS21" s="68">
        <f t="shared" si="4"/>
        <v>0</v>
      </c>
      <c r="BT21" s="67">
        <f t="shared" si="5"/>
        <v>1</v>
      </c>
      <c r="BV21" s="66">
        <f t="shared" si="6"/>
        <v>2.9125607478073401</v>
      </c>
      <c r="BW21" s="66">
        <f t="shared" si="7"/>
        <v>0.3433404782210393</v>
      </c>
      <c r="BX21" s="65">
        <f t="shared" si="8"/>
        <v>0</v>
      </c>
      <c r="BZ21" s="61">
        <f t="shared" si="9"/>
        <v>0</v>
      </c>
      <c r="CA21" s="64">
        <f t="shared" si="10"/>
        <v>15.856650334268018</v>
      </c>
      <c r="CB21" s="63">
        <f t="shared" ref="CB21:CB29" si="15">(20-12*EXP(BV21/$CF$3))/(1-EXP(BV21/$CF$3))</f>
        <v>-93.917491420945424</v>
      </c>
      <c r="CC21" s="62">
        <v>0</v>
      </c>
      <c r="CD21" s="60">
        <f t="shared" si="13"/>
        <v>0</v>
      </c>
      <c r="CE21" s="61">
        <f t="shared" si="14"/>
        <v>1</v>
      </c>
    </row>
    <row r="22" spans="1:83" ht="15" customHeight="1" thickBot="1">
      <c r="A22" s="72"/>
      <c r="B22" s="71" t="s">
        <v>80</v>
      </c>
      <c r="C22" s="71" t="s">
        <v>79</v>
      </c>
      <c r="D22" s="111"/>
      <c r="E22" s="6"/>
      <c r="F22" s="72"/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2013</v>
      </c>
      <c r="BP22" s="64">
        <f t="shared" si="1"/>
        <v>5</v>
      </c>
      <c r="BQ22" s="70">
        <f t="shared" si="2"/>
        <v>1</v>
      </c>
      <c r="BR22" s="69">
        <f t="shared" si="3"/>
        <v>5.6999999999999996E-6</v>
      </c>
      <c r="BS22" s="68">
        <f t="shared" si="4"/>
        <v>0</v>
      </c>
      <c r="BT22" s="67">
        <f t="shared" si="5"/>
        <v>1</v>
      </c>
      <c r="BV22" s="66">
        <f t="shared" si="6"/>
        <v>2.9125607478073401</v>
      </c>
      <c r="BW22" s="66">
        <f t="shared" si="7"/>
        <v>0.3433404782210393</v>
      </c>
      <c r="BX22" s="65">
        <f t="shared" si="8"/>
        <v>0</v>
      </c>
      <c r="BZ22" s="61">
        <f t="shared" si="9"/>
        <v>0</v>
      </c>
      <c r="CA22" s="64">
        <f t="shared" si="10"/>
        <v>15.856650334268018</v>
      </c>
      <c r="CB22" s="63">
        <f t="shared" si="15"/>
        <v>-93.917491420945424</v>
      </c>
      <c r="CC22" s="62">
        <v>0</v>
      </c>
      <c r="CD22" s="60">
        <f t="shared" si="13"/>
        <v>0</v>
      </c>
      <c r="CE22" s="61">
        <f t="shared" si="14"/>
        <v>1</v>
      </c>
    </row>
    <row r="23" spans="1:83" ht="15" customHeight="1" thickBot="1">
      <c r="A23" s="72"/>
      <c r="B23" s="71" t="s">
        <v>79</v>
      </c>
      <c r="C23" s="71" t="s">
        <v>78</v>
      </c>
      <c r="D23" s="111"/>
      <c r="E23" s="6"/>
      <c r="F23" s="72"/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2013</v>
      </c>
      <c r="BP23" s="64">
        <f t="shared" si="1"/>
        <v>5</v>
      </c>
      <c r="BQ23" s="70">
        <f t="shared" si="2"/>
        <v>1</v>
      </c>
      <c r="BR23" s="69">
        <f t="shared" si="3"/>
        <v>5.6999999999999996E-6</v>
      </c>
      <c r="BS23" s="68">
        <f t="shared" si="4"/>
        <v>0</v>
      </c>
      <c r="BT23" s="67">
        <f t="shared" si="5"/>
        <v>1</v>
      </c>
      <c r="BV23" s="66">
        <f t="shared" si="6"/>
        <v>2.9125607478073401</v>
      </c>
      <c r="BW23" s="66">
        <f t="shared" si="7"/>
        <v>0.3433404782210393</v>
      </c>
      <c r="BX23" s="65">
        <f t="shared" si="8"/>
        <v>0</v>
      </c>
      <c r="BZ23" s="61">
        <f t="shared" si="9"/>
        <v>0</v>
      </c>
      <c r="CA23" s="64">
        <f t="shared" si="10"/>
        <v>15.856650334268018</v>
      </c>
      <c r="CB23" s="63">
        <f t="shared" si="15"/>
        <v>-93.917491420945424</v>
      </c>
      <c r="CC23" s="62">
        <v>0</v>
      </c>
      <c r="CD23" s="60">
        <f t="shared" si="13"/>
        <v>0</v>
      </c>
      <c r="CE23" s="61">
        <f t="shared" si="14"/>
        <v>1</v>
      </c>
    </row>
    <row r="24" spans="1:83" ht="15" customHeight="1" thickBot="1">
      <c r="A24" s="72"/>
      <c r="B24" s="71" t="s">
        <v>78</v>
      </c>
      <c r="C24" s="71" t="s">
        <v>77</v>
      </c>
      <c r="D24" s="88"/>
      <c r="E24" s="87"/>
      <c r="F24" s="72">
        <f t="shared" si="0"/>
        <v>0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1978</v>
      </c>
      <c r="BP24" s="64">
        <f t="shared" si="1"/>
        <v>40</v>
      </c>
      <c r="BQ24" s="70">
        <f t="shared" si="2"/>
        <v>3.6945280494653252</v>
      </c>
      <c r="BR24" s="69">
        <f t="shared" si="3"/>
        <v>2.388594289947172E-4</v>
      </c>
      <c r="BS24" s="68">
        <f t="shared" si="4"/>
        <v>0</v>
      </c>
      <c r="BT24" s="67">
        <f t="shared" si="5"/>
        <v>1</v>
      </c>
      <c r="BV24" s="66">
        <f t="shared" si="6"/>
        <v>2.9125607478073401</v>
      </c>
      <c r="BW24" s="66">
        <f t="shared" si="7"/>
        <v>0.3433404782210393</v>
      </c>
      <c r="BX24" s="65">
        <f t="shared" si="8"/>
        <v>0</v>
      </c>
      <c r="BZ24" s="61">
        <f t="shared" si="9"/>
        <v>0</v>
      </c>
      <c r="CA24" s="64">
        <f t="shared" si="10"/>
        <v>15.856650334268018</v>
      </c>
      <c r="CB24" s="63">
        <f t="shared" si="15"/>
        <v>-93.917491420945424</v>
      </c>
      <c r="CC24" s="62">
        <v>0</v>
      </c>
      <c r="CD24" s="60">
        <f t="shared" si="13"/>
        <v>0</v>
      </c>
      <c r="CE24" s="61">
        <f t="shared" si="14"/>
        <v>1</v>
      </c>
    </row>
    <row r="25" spans="1:83" ht="15" customHeight="1" thickBot="1">
      <c r="A25" s="72"/>
      <c r="B25" s="71" t="s">
        <v>76</v>
      </c>
      <c r="C25" s="71" t="s">
        <v>75</v>
      </c>
      <c r="D25" s="88"/>
      <c r="E25" s="87"/>
      <c r="F25" s="72">
        <f t="shared" si="0"/>
        <v>0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1"/>
        <v>40</v>
      </c>
      <c r="BQ25" s="70">
        <f t="shared" si="2"/>
        <v>3.6945280494653252</v>
      </c>
      <c r="BR25" s="69">
        <f t="shared" si="3"/>
        <v>2.388594289947172E-4</v>
      </c>
      <c r="BS25" s="68">
        <f t="shared" si="4"/>
        <v>0</v>
      </c>
      <c r="BT25" s="67">
        <f t="shared" si="5"/>
        <v>1</v>
      </c>
      <c r="BV25" s="66">
        <f t="shared" si="6"/>
        <v>2.9125607478073401</v>
      </c>
      <c r="BW25" s="66">
        <f t="shared" si="7"/>
        <v>0.3433404782210393</v>
      </c>
      <c r="BX25" s="65">
        <f t="shared" si="8"/>
        <v>0</v>
      </c>
      <c r="BZ25" s="61">
        <f t="shared" si="9"/>
        <v>0</v>
      </c>
      <c r="CA25" s="64">
        <f t="shared" si="10"/>
        <v>15.856650334268018</v>
      </c>
      <c r="CB25" s="63">
        <f t="shared" si="15"/>
        <v>-93.917491420945424</v>
      </c>
      <c r="CC25" s="62">
        <v>0</v>
      </c>
      <c r="CD25" s="65">
        <f t="shared" si="13"/>
        <v>0</v>
      </c>
      <c r="CE25" s="61">
        <f t="shared" si="14"/>
        <v>1</v>
      </c>
    </row>
    <row r="26" spans="1:83" ht="15" customHeight="1" thickBot="1">
      <c r="A26" s="72"/>
      <c r="B26" s="71" t="s">
        <v>72</v>
      </c>
      <c r="C26" s="71" t="s">
        <v>72</v>
      </c>
      <c r="D26" s="88"/>
      <c r="E26" s="87"/>
      <c r="F26" s="72">
        <f t="shared" si="0"/>
        <v>0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1"/>
        <v>40</v>
      </c>
      <c r="BQ26" s="70">
        <f t="shared" si="2"/>
        <v>3.6945280494653252</v>
      </c>
      <c r="BR26" s="69">
        <f t="shared" si="3"/>
        <v>2.388594289947172E-4</v>
      </c>
      <c r="BS26" s="68">
        <f t="shared" si="4"/>
        <v>0</v>
      </c>
      <c r="BT26" s="67">
        <f t="shared" si="5"/>
        <v>1</v>
      </c>
      <c r="BV26" s="66">
        <f t="shared" si="6"/>
        <v>2.9125607478073401</v>
      </c>
      <c r="BW26" s="66">
        <f t="shared" si="7"/>
        <v>0.3433404782210393</v>
      </c>
      <c r="BX26" s="65">
        <f t="shared" si="8"/>
        <v>0</v>
      </c>
      <c r="BZ26" s="61">
        <f t="shared" si="9"/>
        <v>0</v>
      </c>
      <c r="CA26" s="64">
        <f t="shared" si="10"/>
        <v>15.856650334268018</v>
      </c>
      <c r="CB26" s="63">
        <f t="shared" si="15"/>
        <v>-93.917491420945424</v>
      </c>
      <c r="CC26" s="62">
        <v>0</v>
      </c>
      <c r="CD26" s="65">
        <f t="shared" si="13"/>
        <v>0</v>
      </c>
      <c r="CE26" s="61">
        <f t="shared" si="14"/>
        <v>1</v>
      </c>
    </row>
    <row r="27" spans="1:83" ht="15" customHeight="1" thickBot="1">
      <c r="A27" s="72"/>
      <c r="B27" s="71" t="s">
        <v>74</v>
      </c>
      <c r="C27" s="71" t="s">
        <v>75</v>
      </c>
      <c r="D27" s="88"/>
      <c r="E27" s="87"/>
      <c r="F27" s="72">
        <f t="shared" si="0"/>
        <v>0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1"/>
        <v>40</v>
      </c>
      <c r="BQ27" s="70">
        <f t="shared" si="2"/>
        <v>3.6945280494653252</v>
      </c>
      <c r="BR27" s="69">
        <f t="shared" si="3"/>
        <v>2.388594289947172E-4</v>
      </c>
      <c r="BS27" s="68">
        <f t="shared" si="4"/>
        <v>0</v>
      </c>
      <c r="BT27" s="67">
        <f t="shared" si="5"/>
        <v>1</v>
      </c>
      <c r="BV27" s="66">
        <f t="shared" si="6"/>
        <v>2.9125607478073401</v>
      </c>
      <c r="BW27" s="66">
        <f t="shared" si="7"/>
        <v>0.3433404782210393</v>
      </c>
      <c r="BX27" s="65">
        <f t="shared" si="8"/>
        <v>0</v>
      </c>
      <c r="BZ27" s="61">
        <f t="shared" si="9"/>
        <v>0</v>
      </c>
      <c r="CA27" s="64">
        <f t="shared" si="10"/>
        <v>15.856650334268018</v>
      </c>
      <c r="CB27" s="63">
        <f t="shared" si="15"/>
        <v>-93.917491420945424</v>
      </c>
      <c r="CC27" s="62">
        <v>0</v>
      </c>
      <c r="CD27" s="65">
        <f t="shared" si="13"/>
        <v>0</v>
      </c>
      <c r="CE27" s="61">
        <f t="shared" si="14"/>
        <v>1</v>
      </c>
    </row>
    <row r="28" spans="1:83" ht="15" customHeight="1" thickBot="1">
      <c r="A28" s="72"/>
      <c r="B28" s="71" t="s">
        <v>74</v>
      </c>
      <c r="C28" s="71" t="s">
        <v>73</v>
      </c>
      <c r="D28" s="88"/>
      <c r="E28" s="87"/>
      <c r="F28" s="72">
        <f t="shared" si="0"/>
        <v>0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1"/>
        <v>40</v>
      </c>
      <c r="BQ28" s="70">
        <f t="shared" si="2"/>
        <v>3.6945280494653252</v>
      </c>
      <c r="BR28" s="69">
        <f t="shared" si="3"/>
        <v>2.388594289947172E-4</v>
      </c>
      <c r="BS28" s="68">
        <f t="shared" si="4"/>
        <v>0</v>
      </c>
      <c r="BT28" s="67">
        <f t="shared" si="5"/>
        <v>1</v>
      </c>
      <c r="BV28" s="66">
        <f t="shared" si="6"/>
        <v>2.9125607478073401</v>
      </c>
      <c r="BW28" s="66">
        <f t="shared" si="7"/>
        <v>0.3433404782210393</v>
      </c>
      <c r="BX28" s="65">
        <f t="shared" si="8"/>
        <v>0</v>
      </c>
      <c r="BZ28" s="61">
        <f t="shared" si="9"/>
        <v>0</v>
      </c>
      <c r="CA28" s="64">
        <f t="shared" si="10"/>
        <v>15.856650334268018</v>
      </c>
      <c r="CB28" s="63">
        <f t="shared" si="15"/>
        <v>-93.917491420945424</v>
      </c>
      <c r="CC28" s="62">
        <v>0</v>
      </c>
      <c r="CD28" s="65">
        <f t="shared" si="13"/>
        <v>0</v>
      </c>
      <c r="CE28" s="61">
        <f t="shared" si="14"/>
        <v>1</v>
      </c>
    </row>
    <row r="29" spans="1:83" ht="15" customHeight="1" thickBot="1">
      <c r="A29" s="72"/>
      <c r="B29" s="71" t="s">
        <v>73</v>
      </c>
      <c r="C29" s="71" t="s">
        <v>72</v>
      </c>
      <c r="D29" s="88"/>
      <c r="E29" s="87"/>
      <c r="F29" s="72">
        <f t="shared" si="0"/>
        <v>0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1"/>
        <v>40</v>
      </c>
      <c r="BQ29" s="70">
        <f t="shared" si="2"/>
        <v>3.6945280494653252</v>
      </c>
      <c r="BR29" s="69">
        <f t="shared" si="3"/>
        <v>2.388594289947172E-4</v>
      </c>
      <c r="BS29" s="68">
        <f t="shared" si="4"/>
        <v>0</v>
      </c>
      <c r="BT29" s="67">
        <f t="shared" si="5"/>
        <v>1</v>
      </c>
      <c r="BV29" s="66">
        <f t="shared" si="6"/>
        <v>2.9125607478073401</v>
      </c>
      <c r="BW29" s="66">
        <f t="shared" si="7"/>
        <v>0.3433404782210393</v>
      </c>
      <c r="BX29" s="65">
        <f t="shared" si="8"/>
        <v>0</v>
      </c>
      <c r="BZ29" s="61">
        <f t="shared" si="9"/>
        <v>0</v>
      </c>
      <c r="CA29" s="64">
        <f t="shared" si="10"/>
        <v>15.856650334268018</v>
      </c>
      <c r="CB29" s="63">
        <f t="shared" si="15"/>
        <v>-93.917491420945424</v>
      </c>
      <c r="CC29" s="62">
        <v>0</v>
      </c>
      <c r="CD29" s="65">
        <f t="shared" si="13"/>
        <v>0</v>
      </c>
      <c r="CE29" s="61">
        <f t="shared" si="14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4" workbookViewId="0">
      <selection activeCell="B31" sqref="B31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6" t="s">
        <v>201</v>
      </c>
      <c r="B1" s="107">
        <v>2019</v>
      </c>
      <c r="C1" s="107">
        <v>2020</v>
      </c>
      <c r="D1" s="107">
        <v>2021</v>
      </c>
      <c r="E1" s="107">
        <v>2022</v>
      </c>
      <c r="F1" s="107">
        <v>2023</v>
      </c>
      <c r="G1" s="107">
        <v>2024</v>
      </c>
      <c r="H1" s="107">
        <v>2025</v>
      </c>
      <c r="I1" s="107">
        <v>2026</v>
      </c>
      <c r="J1" s="107">
        <v>2027</v>
      </c>
      <c r="K1" s="107">
        <v>2028</v>
      </c>
      <c r="L1" s="107">
        <v>2029</v>
      </c>
      <c r="M1" s="107">
        <v>2030</v>
      </c>
      <c r="N1" s="107">
        <v>2031</v>
      </c>
    </row>
    <row r="2" spans="1:14" ht="16.5" thickBot="1">
      <c r="A2" s="108" t="s">
        <v>202</v>
      </c>
      <c r="B2" s="109">
        <v>1.04</v>
      </c>
      <c r="C2" s="109">
        <v>1.04</v>
      </c>
      <c r="D2" s="109">
        <v>1.028</v>
      </c>
      <c r="E2" s="109">
        <v>1.0269999999999999</v>
      </c>
      <c r="F2" s="109">
        <v>1.0269999999999999</v>
      </c>
      <c r="G2" s="109">
        <v>1.0249999999999999</v>
      </c>
      <c r="H2" s="109">
        <v>1.0229999999999999</v>
      </c>
      <c r="I2" s="109">
        <v>1.022</v>
      </c>
      <c r="J2" s="109">
        <v>1.02</v>
      </c>
      <c r="K2" s="109">
        <v>1.02</v>
      </c>
      <c r="L2" s="109">
        <v>1.02</v>
      </c>
      <c r="M2" s="109">
        <v>1.02</v>
      </c>
      <c r="N2" s="109">
        <v>1.02</v>
      </c>
    </row>
    <row r="3" spans="1:14" ht="39.75" thickBot="1">
      <c r="A3" s="108" t="s">
        <v>203</v>
      </c>
      <c r="B3" s="109">
        <v>1.0309999999999999</v>
      </c>
      <c r="C3" s="109">
        <v>1.03</v>
      </c>
      <c r="D3" s="109">
        <v>1.034</v>
      </c>
      <c r="E3" s="109">
        <v>1.03</v>
      </c>
      <c r="F3" s="109">
        <v>1.028</v>
      </c>
      <c r="G3" s="109">
        <v>1.0269999999999999</v>
      </c>
      <c r="H3" s="109">
        <v>1.026</v>
      </c>
      <c r="I3" s="109">
        <v>1.024</v>
      </c>
      <c r="J3" s="109">
        <v>1.022</v>
      </c>
      <c r="K3" s="109">
        <v>1.0209999999999999</v>
      </c>
      <c r="L3" s="109">
        <v>1.02</v>
      </c>
      <c r="M3" s="109">
        <v>1.02</v>
      </c>
      <c r="N3" s="109">
        <v>1.02</v>
      </c>
    </row>
    <row r="4" spans="1:14" ht="16.5" thickBot="1">
      <c r="A4" s="108" t="s">
        <v>204</v>
      </c>
      <c r="B4" s="109">
        <v>1.034</v>
      </c>
      <c r="C4" s="109">
        <v>1.0269999999999999</v>
      </c>
      <c r="D4" s="109">
        <v>1.022</v>
      </c>
      <c r="E4" s="109">
        <v>1.0369999999999999</v>
      </c>
      <c r="F4" s="109">
        <v>1.0369999999999999</v>
      </c>
      <c r="G4" s="109">
        <v>1.036</v>
      </c>
      <c r="H4" s="109">
        <v>1.04</v>
      </c>
      <c r="I4" s="109">
        <v>1.038</v>
      </c>
      <c r="J4" s="109">
        <v>1.038</v>
      </c>
      <c r="K4" s="109">
        <v>1.038</v>
      </c>
      <c r="L4" s="109">
        <v>1.036</v>
      </c>
      <c r="M4" s="109">
        <v>1.036</v>
      </c>
      <c r="N4" s="109">
        <v>1.036</v>
      </c>
    </row>
    <row r="5" spans="1:14" ht="39.75" thickBot="1">
      <c r="A5" s="108" t="s">
        <v>205</v>
      </c>
      <c r="B5" s="109">
        <v>1.03</v>
      </c>
      <c r="C5" s="109">
        <v>1.03</v>
      </c>
      <c r="D5" s="109">
        <v>1.0229999999999999</v>
      </c>
      <c r="E5" s="109">
        <v>1.024</v>
      </c>
      <c r="F5" s="109">
        <v>1.024</v>
      </c>
      <c r="G5" s="109">
        <v>1.024</v>
      </c>
      <c r="H5" s="109">
        <v>1.0249999999999999</v>
      </c>
      <c r="I5" s="109">
        <v>1.024</v>
      </c>
      <c r="J5" s="109">
        <v>1.036</v>
      </c>
      <c r="K5" s="109">
        <v>1.0149999999999999</v>
      </c>
      <c r="L5" s="109">
        <v>0.98299999999999998</v>
      </c>
      <c r="M5" s="109">
        <v>0.98199999999999998</v>
      </c>
      <c r="N5" s="109">
        <v>1</v>
      </c>
    </row>
    <row r="6" spans="1:14" ht="27" thickBot="1">
      <c r="A6" s="108" t="s">
        <v>206</v>
      </c>
      <c r="B6" s="109">
        <v>1.04</v>
      </c>
      <c r="C6" s="109">
        <v>1.04</v>
      </c>
      <c r="D6" s="109">
        <v>1.0409999999999999</v>
      </c>
      <c r="E6" s="109">
        <v>1.0369999999999999</v>
      </c>
      <c r="F6" s="109">
        <v>1.0349999999999999</v>
      </c>
      <c r="G6" s="109">
        <v>1.034</v>
      </c>
      <c r="H6" s="109">
        <v>1.0329999999999999</v>
      </c>
      <c r="I6" s="109">
        <v>1.0309999999999999</v>
      </c>
      <c r="J6" s="109">
        <v>1.0289999999999999</v>
      </c>
      <c r="K6" s="109">
        <v>1.028</v>
      </c>
      <c r="L6" s="109">
        <v>1.0269999999999999</v>
      </c>
      <c r="M6" s="109">
        <v>1.0269999999999999</v>
      </c>
      <c r="N6" s="109">
        <v>1.0269999999999999</v>
      </c>
    </row>
    <row r="7" spans="1:14" ht="27" thickBot="1">
      <c r="A7" s="108" t="s">
        <v>207</v>
      </c>
      <c r="B7" s="109">
        <v>1.04</v>
      </c>
      <c r="C7" s="109">
        <v>1.048</v>
      </c>
      <c r="D7" s="109">
        <v>1.0289999999999999</v>
      </c>
      <c r="E7" s="109">
        <v>1.0289999999999999</v>
      </c>
      <c r="F7" s="109">
        <v>1.0309999999999999</v>
      </c>
      <c r="G7" s="109">
        <v>1.0289999999999999</v>
      </c>
      <c r="H7" s="109">
        <v>1.024</v>
      </c>
      <c r="I7" s="109">
        <v>1.0209999999999999</v>
      </c>
      <c r="J7" s="109">
        <v>1.022</v>
      </c>
      <c r="K7" s="109">
        <v>1.0229999999999999</v>
      </c>
      <c r="L7" s="109">
        <v>1.024</v>
      </c>
      <c r="M7" s="109">
        <v>1.0229999999999999</v>
      </c>
      <c r="N7" s="109">
        <v>1.0229999999999999</v>
      </c>
    </row>
    <row r="8" spans="1:14" ht="16.5" thickBot="1"/>
    <row r="9" spans="1:14" ht="26.25" thickBot="1">
      <c r="A9" s="110" t="s">
        <v>208</v>
      </c>
      <c r="B9">
        <f>Лист1!C9</f>
        <v>1181.6500000000001</v>
      </c>
      <c r="C9">
        <f>B9</f>
        <v>1181.6500000000001</v>
      </c>
      <c r="D9">
        <f t="shared" ref="D9:N9" si="0">C9</f>
        <v>1181.6500000000001</v>
      </c>
      <c r="E9">
        <f t="shared" si="0"/>
        <v>1181.6500000000001</v>
      </c>
      <c r="F9">
        <f t="shared" si="0"/>
        <v>1181.6500000000001</v>
      </c>
      <c r="G9">
        <f t="shared" si="0"/>
        <v>1181.6500000000001</v>
      </c>
      <c r="H9">
        <f t="shared" si="0"/>
        <v>1181.6500000000001</v>
      </c>
      <c r="I9">
        <f t="shared" si="0"/>
        <v>1181.6500000000001</v>
      </c>
      <c r="J9">
        <f t="shared" si="0"/>
        <v>1181.6500000000001</v>
      </c>
      <c r="K9">
        <f t="shared" si="0"/>
        <v>1181.6500000000001</v>
      </c>
      <c r="L9">
        <f t="shared" si="0"/>
        <v>1181.6500000000001</v>
      </c>
      <c r="M9">
        <f t="shared" si="0"/>
        <v>1181.6500000000001</v>
      </c>
      <c r="N9">
        <f t="shared" si="0"/>
        <v>1181.6500000000001</v>
      </c>
    </row>
    <row r="10" spans="1:14" ht="26.25" thickBot="1">
      <c r="A10" s="111" t="s">
        <v>209</v>
      </c>
      <c r="B10" s="112">
        <f>Лист1!E9+Лист1!D9</f>
        <v>113.25</v>
      </c>
      <c r="C10">
        <f t="shared" ref="C10:N10" si="1">B10</f>
        <v>113.25</v>
      </c>
      <c r="D10">
        <f t="shared" si="1"/>
        <v>113.25</v>
      </c>
      <c r="E10">
        <f t="shared" si="1"/>
        <v>113.25</v>
      </c>
      <c r="F10">
        <f t="shared" si="1"/>
        <v>113.25</v>
      </c>
      <c r="G10">
        <f t="shared" si="1"/>
        <v>113.25</v>
      </c>
      <c r="H10">
        <f t="shared" si="1"/>
        <v>113.25</v>
      </c>
      <c r="I10">
        <f t="shared" si="1"/>
        <v>113.25</v>
      </c>
      <c r="J10">
        <f t="shared" si="1"/>
        <v>113.25</v>
      </c>
      <c r="K10">
        <f t="shared" si="1"/>
        <v>113.25</v>
      </c>
      <c r="L10">
        <f t="shared" si="1"/>
        <v>113.25</v>
      </c>
      <c r="M10">
        <f t="shared" si="1"/>
        <v>113.25</v>
      </c>
      <c r="N10">
        <f t="shared" si="1"/>
        <v>113.25</v>
      </c>
    </row>
    <row r="11" spans="1:14" ht="16.5" thickBot="1">
      <c r="A11" s="111" t="s">
        <v>210</v>
      </c>
      <c r="B11">
        <f>B9-B10</f>
        <v>1068.4000000000001</v>
      </c>
      <c r="C11">
        <f t="shared" ref="C11:N11" si="2">B11</f>
        <v>1068.4000000000001</v>
      </c>
      <c r="D11">
        <f t="shared" si="2"/>
        <v>1068.4000000000001</v>
      </c>
      <c r="E11">
        <f t="shared" si="2"/>
        <v>1068.4000000000001</v>
      </c>
      <c r="F11">
        <f t="shared" si="2"/>
        <v>1068.4000000000001</v>
      </c>
      <c r="G11">
        <f t="shared" si="2"/>
        <v>1068.4000000000001</v>
      </c>
      <c r="H11">
        <f t="shared" si="2"/>
        <v>1068.4000000000001</v>
      </c>
      <c r="I11">
        <f t="shared" si="2"/>
        <v>1068.4000000000001</v>
      </c>
      <c r="J11">
        <f t="shared" si="2"/>
        <v>1068.4000000000001</v>
      </c>
      <c r="K11">
        <f t="shared" si="2"/>
        <v>1068.4000000000001</v>
      </c>
      <c r="L11">
        <f t="shared" si="2"/>
        <v>1068.4000000000001</v>
      </c>
      <c r="M11">
        <f t="shared" si="2"/>
        <v>1068.4000000000001</v>
      </c>
      <c r="N11">
        <f t="shared" si="2"/>
        <v>1068.4000000000001</v>
      </c>
    </row>
    <row r="12" spans="1:14" ht="16.5" thickBot="1">
      <c r="A12" s="111" t="s">
        <v>211</v>
      </c>
      <c r="B12" s="20">
        <f>B13*B11/1000</f>
        <v>2230.2636320000001</v>
      </c>
      <c r="C12" s="20">
        <f t="shared" ref="C12:D12" si="3">C13*C11/1000</f>
        <v>2220.5946120000003</v>
      </c>
      <c r="D12" s="20">
        <f t="shared" si="3"/>
        <v>2386.2286640000002</v>
      </c>
      <c r="E12" s="20">
        <f>D12*D2</f>
        <v>2453.0430665920003</v>
      </c>
      <c r="F12" s="20">
        <f t="shared" ref="F12:N12" si="4">E12*E2</f>
        <v>2519.2752293899839</v>
      </c>
      <c r="G12" s="20">
        <f t="shared" si="4"/>
        <v>2587.2956605835134</v>
      </c>
      <c r="H12" s="20">
        <f t="shared" si="4"/>
        <v>2651.9780520981008</v>
      </c>
      <c r="I12" s="20">
        <f t="shared" si="4"/>
        <v>2712.9735472963566</v>
      </c>
      <c r="J12" s="20">
        <f t="shared" si="4"/>
        <v>2772.6589653368765</v>
      </c>
      <c r="K12" s="20">
        <f t="shared" si="4"/>
        <v>2828.1121446436141</v>
      </c>
      <c r="L12" s="20">
        <f t="shared" si="4"/>
        <v>2884.6743875364864</v>
      </c>
      <c r="M12" s="20">
        <f t="shared" si="4"/>
        <v>2942.3678752872161</v>
      </c>
      <c r="N12" s="20">
        <f t="shared" si="4"/>
        <v>3001.2152327929603</v>
      </c>
    </row>
    <row r="13" spans="1:14" ht="16.5" thickBot="1">
      <c r="A13" s="111" t="s">
        <v>212</v>
      </c>
      <c r="B13">
        <f>B16</f>
        <v>2087.48</v>
      </c>
      <c r="C13">
        <f>B18</f>
        <v>2078.4299999999998</v>
      </c>
      <c r="D13">
        <f>B20</f>
        <v>2233.46</v>
      </c>
      <c r="E13">
        <f>E12/E11*1000</f>
        <v>2295.9968800000001</v>
      </c>
      <c r="F13">
        <f>F12/F11*1000</f>
        <v>2357.9887957599999</v>
      </c>
      <c r="G13">
        <f t="shared" ref="G13:N13" si="5">G12/G11*1000</f>
        <v>2421.6544932455199</v>
      </c>
      <c r="H13">
        <f t="shared" si="5"/>
        <v>2482.1958555766569</v>
      </c>
      <c r="I13">
        <f t="shared" si="5"/>
        <v>2539.2863602549196</v>
      </c>
      <c r="J13">
        <f t="shared" si="5"/>
        <v>2595.1506601805281</v>
      </c>
      <c r="K13">
        <f t="shared" si="5"/>
        <v>2647.0536733841386</v>
      </c>
      <c r="L13">
        <f t="shared" si="5"/>
        <v>2699.9947468518217</v>
      </c>
      <c r="M13">
        <f t="shared" si="5"/>
        <v>2753.9946417888582</v>
      </c>
      <c r="N13">
        <f t="shared" si="5"/>
        <v>2809.0745346246349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2030.66</v>
      </c>
    </row>
    <row r="16" spans="1:14" ht="16.5" thickBot="1">
      <c r="B16" s="19">
        <v>2087.48</v>
      </c>
    </row>
    <row r="17" spans="1:2" ht="16.5" thickBot="1">
      <c r="A17">
        <v>2019</v>
      </c>
      <c r="B17" s="19">
        <v>2087.48</v>
      </c>
    </row>
    <row r="18" spans="1:2" ht="16.5" thickBot="1">
      <c r="B18" s="19">
        <v>2078.4299999999998</v>
      </c>
    </row>
    <row r="19" spans="1:2" ht="16.5" thickBot="1">
      <c r="A19">
        <v>2020</v>
      </c>
      <c r="B19" s="19">
        <v>2078.4299999999998</v>
      </c>
    </row>
    <row r="20" spans="1:2" ht="16.5" thickBot="1">
      <c r="B20" s="19">
        <v>2233.46</v>
      </c>
    </row>
    <row r="35" spans="1:5" ht="16.5" thickBot="1"/>
    <row r="36" spans="1:5" ht="16.5" thickBot="1">
      <c r="A36" s="116" t="s">
        <v>214</v>
      </c>
      <c r="B36" s="117">
        <f>B9</f>
        <v>1181.6500000000001</v>
      </c>
    </row>
    <row r="37" spans="1:5" ht="16.5" thickBot="1">
      <c r="A37" s="118" t="s">
        <v>215</v>
      </c>
      <c r="B37" s="119">
        <f>B11</f>
        <v>1068.4000000000001</v>
      </c>
      <c r="D37" t="s">
        <v>246</v>
      </c>
      <c r="E37">
        <v>218</v>
      </c>
    </row>
    <row r="38" spans="1:5" ht="16.5" thickBot="1">
      <c r="A38" s="118" t="s">
        <v>216</v>
      </c>
      <c r="B38" s="121">
        <f>E38/0.748</f>
        <v>344.38462566844919</v>
      </c>
      <c r="D38" t="s">
        <v>247</v>
      </c>
      <c r="E38">
        <f>E37*B36/1000</f>
        <v>257.59969999999998</v>
      </c>
    </row>
    <row r="39" spans="1:5" ht="16.5" thickBot="1">
      <c r="A39" s="118" t="s">
        <v>217</v>
      </c>
      <c r="B39" s="120">
        <v>3000</v>
      </c>
    </row>
    <row r="40" spans="1:5" ht="16.5" thickBot="1">
      <c r="A40" s="118" t="s">
        <v>218</v>
      </c>
      <c r="B40" s="120">
        <f>B38*B39/1000</f>
        <v>1033.1538770053476</v>
      </c>
    </row>
    <row r="41" spans="1:5" ht="16.5" thickBot="1">
      <c r="A41" s="118" t="s">
        <v>219</v>
      </c>
      <c r="B41" s="119">
        <v>0.1588</v>
      </c>
    </row>
    <row r="42" spans="1:5" ht="16.5" thickBot="1">
      <c r="A42" s="118" t="s">
        <v>220</v>
      </c>
      <c r="B42" s="121">
        <f>B41*B36</f>
        <v>187.64602000000002</v>
      </c>
    </row>
    <row r="43" spans="1:5" ht="16.5" thickBot="1">
      <c r="A43" s="118" t="s">
        <v>221</v>
      </c>
      <c r="B43" s="119">
        <f>B42/1.154</f>
        <v>162.60487001733105</v>
      </c>
    </row>
    <row r="44" spans="1:5" ht="16.5" thickBot="1">
      <c r="A44" s="118" t="s">
        <v>222</v>
      </c>
      <c r="B44" s="120">
        <v>5111</v>
      </c>
    </row>
    <row r="45" spans="1:5" ht="16.5" thickBot="1">
      <c r="A45" s="118" t="s">
        <v>223</v>
      </c>
      <c r="B45" s="119">
        <f>B43*B44/1000</f>
        <v>831.07349065857909</v>
      </c>
      <c r="C45">
        <f>B40/B45-1</f>
        <v>0.24315585639319459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6" t="s">
        <v>224</v>
      </c>
      <c r="B1" s="149" t="s">
        <v>225</v>
      </c>
      <c r="C1" s="150"/>
      <c r="D1" s="151"/>
      <c r="E1" s="122"/>
    </row>
    <row r="2" spans="1:12" ht="75">
      <c r="A2" s="147"/>
      <c r="B2" s="123" t="s">
        <v>226</v>
      </c>
      <c r="C2" s="152" t="s">
        <v>228</v>
      </c>
      <c r="D2" s="123" t="s">
        <v>229</v>
      </c>
      <c r="E2" s="122"/>
      <c r="L2" s="21"/>
    </row>
    <row r="3" spans="1:12" ht="75">
      <c r="A3" s="147"/>
      <c r="B3" s="123" t="s">
        <v>227</v>
      </c>
      <c r="C3" s="153"/>
      <c r="D3" s="123" t="s">
        <v>230</v>
      </c>
      <c r="E3" s="122"/>
      <c r="L3" s="21"/>
    </row>
    <row r="4" spans="1:12" ht="37.5">
      <c r="A4" s="147"/>
      <c r="B4" s="124"/>
      <c r="C4" s="153"/>
      <c r="D4" s="123" t="s">
        <v>231</v>
      </c>
      <c r="E4" s="122"/>
      <c r="L4" s="21"/>
    </row>
    <row r="5" spans="1:12">
      <c r="A5" s="147"/>
      <c r="B5" s="124"/>
      <c r="C5" s="153"/>
      <c r="D5" s="124"/>
      <c r="E5" s="122"/>
    </row>
    <row r="6" spans="1:12" ht="16.5" thickBot="1">
      <c r="A6" s="148"/>
      <c r="B6" s="125"/>
      <c r="C6" s="154"/>
      <c r="D6" s="125"/>
      <c r="E6" s="122"/>
    </row>
    <row r="7" spans="1:12" ht="19.5" thickBot="1">
      <c r="A7" s="155"/>
      <c r="B7" s="156"/>
      <c r="C7" s="156"/>
      <c r="D7" s="157"/>
      <c r="E7" s="122"/>
    </row>
    <row r="8" spans="1:12" ht="18.75">
      <c r="A8" s="126" t="s">
        <v>232</v>
      </c>
      <c r="B8" s="128">
        <v>336</v>
      </c>
      <c r="C8" s="128">
        <v>20</v>
      </c>
      <c r="D8" s="128">
        <v>8.5330000000000007E-3</v>
      </c>
      <c r="E8" s="122" t="s">
        <v>200</v>
      </c>
      <c r="G8" t="s">
        <v>199</v>
      </c>
      <c r="H8" s="21">
        <f>SUM(B16:B27)</f>
        <v>8136</v>
      </c>
      <c r="I8" s="21">
        <f t="shared" ref="I8" si="0">I11-I9-I10</f>
        <v>-113.33</v>
      </c>
      <c r="J8" s="21">
        <f>J11-J9-J10</f>
        <v>0.42917</v>
      </c>
      <c r="L8">
        <f>H8/5</f>
        <v>1627.2</v>
      </c>
    </row>
    <row r="9" spans="1:12" ht="19.5" thickBot="1">
      <c r="A9" s="127" t="s">
        <v>233</v>
      </c>
      <c r="B9" s="129">
        <v>480</v>
      </c>
      <c r="C9" s="129">
        <v>10</v>
      </c>
      <c r="D9" s="129">
        <v>1.6480000000000002E-2</v>
      </c>
      <c r="E9" s="122" t="s">
        <v>200</v>
      </c>
      <c r="G9" t="s">
        <v>200</v>
      </c>
      <c r="H9" s="21">
        <f>SUM(B8:B12,B14:B15)</f>
        <v>10265</v>
      </c>
      <c r="I9" s="21">
        <f t="shared" ref="I9" si="1">SUM(C8:C12,C14:C15)</f>
        <v>98</v>
      </c>
      <c r="J9" s="21">
        <f>SUM(D8:D12,D14:D15)</f>
        <v>0.233928</v>
      </c>
      <c r="L9">
        <f t="shared" ref="L9:L10" si="2">H9/5</f>
        <v>2053</v>
      </c>
    </row>
    <row r="10" spans="1:12" ht="18.75">
      <c r="A10" s="158" t="s">
        <v>234</v>
      </c>
      <c r="B10" s="128"/>
      <c r="C10" s="128"/>
      <c r="D10" s="128"/>
      <c r="E10" s="133"/>
      <c r="G10" t="s">
        <v>15</v>
      </c>
      <c r="H10" s="21">
        <f t="shared" ref="H10:I10" si="3">B13</f>
        <v>366</v>
      </c>
      <c r="I10" s="21">
        <f t="shared" si="3"/>
        <v>15</v>
      </c>
      <c r="J10" s="21">
        <f>D13</f>
        <v>6.9020000000000001E-3</v>
      </c>
      <c r="L10">
        <f t="shared" si="2"/>
        <v>73.2</v>
      </c>
    </row>
    <row r="11" spans="1:12" ht="19.5" thickBot="1">
      <c r="A11" s="159"/>
      <c r="B11" s="129">
        <v>2768</v>
      </c>
      <c r="C11" s="129">
        <v>20</v>
      </c>
      <c r="D11" s="129">
        <v>7.0293999999999995E-2</v>
      </c>
      <c r="E11" s="133" t="s">
        <v>200</v>
      </c>
      <c r="I11">
        <v>-0.33</v>
      </c>
      <c r="J11">
        <v>0.67</v>
      </c>
    </row>
    <row r="12" spans="1:12" ht="19.5" thickBot="1">
      <c r="A12" s="127" t="s">
        <v>235</v>
      </c>
      <c r="B12" s="129">
        <v>4386</v>
      </c>
      <c r="C12" s="129">
        <v>16</v>
      </c>
      <c r="D12" s="129">
        <v>8.9344000000000007E-2</v>
      </c>
      <c r="E12" s="122" t="s">
        <v>200</v>
      </c>
    </row>
    <row r="13" spans="1:12" ht="19.5" thickBot="1">
      <c r="A13" s="130" t="s">
        <v>236</v>
      </c>
      <c r="B13" s="129">
        <v>366</v>
      </c>
      <c r="C13" s="129">
        <v>15</v>
      </c>
      <c r="D13" s="129">
        <v>6.9020000000000001E-3</v>
      </c>
      <c r="E13" s="122" t="s">
        <v>15</v>
      </c>
    </row>
    <row r="14" spans="1:12" ht="19.5" thickBot="1">
      <c r="A14" s="130" t="s">
        <v>213</v>
      </c>
      <c r="B14" s="129">
        <v>1167</v>
      </c>
      <c r="C14" s="129">
        <v>16</v>
      </c>
      <c r="D14" s="129">
        <v>2.5056999999999999E-2</v>
      </c>
      <c r="E14" s="122" t="s">
        <v>200</v>
      </c>
    </row>
    <row r="15" spans="1:12" ht="19.5" thickBot="1">
      <c r="A15" s="130" t="s">
        <v>237</v>
      </c>
      <c r="B15" s="129">
        <v>1128</v>
      </c>
      <c r="C15" s="129">
        <v>16</v>
      </c>
      <c r="D15" s="129">
        <v>2.4219999999999998E-2</v>
      </c>
      <c r="E15" s="122" t="s">
        <v>200</v>
      </c>
    </row>
    <row r="16" spans="1:12" ht="19.5" thickBot="1">
      <c r="A16" s="130" t="s">
        <v>238</v>
      </c>
      <c r="B16" s="129">
        <v>3321</v>
      </c>
      <c r="C16" s="129">
        <v>20</v>
      </c>
      <c r="D16" s="129">
        <v>9.4145000000000006E-2</v>
      </c>
      <c r="E16" s="122" t="s">
        <v>199</v>
      </c>
    </row>
    <row r="17" spans="1:5" ht="19.5" thickBot="1">
      <c r="A17" s="130" t="s">
        <v>239</v>
      </c>
      <c r="B17" s="129">
        <v>192</v>
      </c>
      <c r="C17" s="129">
        <v>20</v>
      </c>
      <c r="D17" s="129">
        <v>9.2980000000000007E-3</v>
      </c>
      <c r="E17" s="122" t="s">
        <v>199</v>
      </c>
    </row>
    <row r="18" spans="1:5" ht="19.5" thickBot="1">
      <c r="A18" s="130" t="s">
        <v>239</v>
      </c>
      <c r="B18" s="129">
        <v>147</v>
      </c>
      <c r="C18" s="129">
        <v>20</v>
      </c>
      <c r="D18" s="129">
        <v>7.9869999999999993E-3</v>
      </c>
      <c r="E18" s="122" t="s">
        <v>199</v>
      </c>
    </row>
    <row r="19" spans="1:5" ht="19.5" thickBot="1">
      <c r="A19" s="130" t="s">
        <v>240</v>
      </c>
      <c r="B19" s="131">
        <v>637</v>
      </c>
      <c r="C19" s="131">
        <v>20</v>
      </c>
      <c r="D19" s="131">
        <v>2.1558000000000001E-2</v>
      </c>
      <c r="E19" s="122" t="s">
        <v>199</v>
      </c>
    </row>
    <row r="20" spans="1:5" ht="19.5" thickBot="1">
      <c r="A20" s="130" t="s">
        <v>240</v>
      </c>
      <c r="B20" s="131">
        <v>637</v>
      </c>
      <c r="C20" s="131">
        <v>20</v>
      </c>
      <c r="D20" s="131">
        <v>2.1558000000000001E-2</v>
      </c>
      <c r="E20" s="122" t="s">
        <v>199</v>
      </c>
    </row>
    <row r="21" spans="1:5" ht="19.5" thickBot="1">
      <c r="A21" s="130" t="s">
        <v>240</v>
      </c>
      <c r="B21" s="131">
        <v>637</v>
      </c>
      <c r="C21" s="131">
        <v>20</v>
      </c>
      <c r="D21" s="131">
        <v>2.1558000000000001E-2</v>
      </c>
      <c r="E21" s="122" t="s">
        <v>199</v>
      </c>
    </row>
    <row r="22" spans="1:5" ht="19.5" thickBot="1">
      <c r="A22" s="130" t="s">
        <v>240</v>
      </c>
      <c r="B22" s="131">
        <v>637</v>
      </c>
      <c r="C22" s="131">
        <v>20</v>
      </c>
      <c r="D22" s="131">
        <v>2.1558000000000001E-2</v>
      </c>
      <c r="E22" s="122" t="s">
        <v>199</v>
      </c>
    </row>
    <row r="23" spans="1:5" ht="19.5" thickBot="1">
      <c r="A23" s="130" t="s">
        <v>240</v>
      </c>
      <c r="B23" s="131">
        <v>637</v>
      </c>
      <c r="C23" s="131">
        <v>20</v>
      </c>
      <c r="D23" s="131">
        <v>2.1558000000000001E-2</v>
      </c>
      <c r="E23" s="122" t="s">
        <v>199</v>
      </c>
    </row>
    <row r="24" spans="1:5" ht="19.5" thickBot="1">
      <c r="A24" s="130" t="s">
        <v>240</v>
      </c>
      <c r="B24" s="131">
        <v>383</v>
      </c>
      <c r="C24" s="131">
        <v>20</v>
      </c>
      <c r="D24" s="131">
        <v>1.6737999999999999E-2</v>
      </c>
      <c r="E24" s="122" t="s">
        <v>199</v>
      </c>
    </row>
    <row r="25" spans="1:5" ht="19.5" thickBot="1">
      <c r="A25" s="130" t="s">
        <v>240</v>
      </c>
      <c r="B25" s="131">
        <v>383</v>
      </c>
      <c r="C25" s="131">
        <v>20</v>
      </c>
      <c r="D25" s="131">
        <v>1.6737999999999999E-2</v>
      </c>
      <c r="E25" s="122" t="s">
        <v>199</v>
      </c>
    </row>
    <row r="26" spans="1:5" ht="19.5" thickBot="1">
      <c r="A26" s="130" t="s">
        <v>239</v>
      </c>
      <c r="B26" s="131">
        <v>357</v>
      </c>
      <c r="C26" s="131">
        <v>20</v>
      </c>
      <c r="D26" s="131">
        <v>1.6445000000000001E-2</v>
      </c>
      <c r="E26" s="122" t="s">
        <v>199</v>
      </c>
    </row>
    <row r="27" spans="1:5" ht="19.5" thickBot="1">
      <c r="A27" s="130" t="s">
        <v>239</v>
      </c>
      <c r="B27" s="131">
        <v>168</v>
      </c>
      <c r="C27" s="131">
        <v>20</v>
      </c>
      <c r="D27" s="131">
        <v>9.1280000000000007E-3</v>
      </c>
      <c r="E27" s="122" t="s">
        <v>199</v>
      </c>
    </row>
    <row r="28" spans="1:5" ht="19.5" thickBot="1">
      <c r="A28" s="140" t="s">
        <v>241</v>
      </c>
      <c r="B28" s="141"/>
      <c r="C28" s="142"/>
      <c r="D28" s="132">
        <v>0.66609499999999999</v>
      </c>
      <c r="E28" s="122"/>
    </row>
    <row r="29" spans="1:5" ht="16.5" thickBot="1">
      <c r="A29" s="19"/>
      <c r="B29" s="113"/>
      <c r="C29" s="113"/>
      <c r="D29" s="105"/>
      <c r="E29" s="114"/>
    </row>
    <row r="30" spans="1:5" ht="16.5" thickBot="1">
      <c r="A30" s="19"/>
      <c r="B30" s="113"/>
      <c r="C30" s="113"/>
      <c r="D30" s="105"/>
      <c r="E30" s="114"/>
    </row>
    <row r="31" spans="1:5" ht="16.5" thickBot="1">
      <c r="A31" s="143"/>
      <c r="B31" s="144"/>
      <c r="C31" s="145"/>
      <c r="D31" s="115"/>
      <c r="E31" s="114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2019-06-13T12:20:15Z</dcterms:modified>
</cp:coreProperties>
</file>